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8f3c9ac06749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o" sheetId="1" r:id="R43964d5287b74f55"/>
    <x:sheet xmlns:r="http://schemas.openxmlformats.org/officeDocument/2006/relationships" name="Dados" sheetId="2" r:id="R6e7af2e068224825"/>
    <x:sheet xmlns:r="http://schemas.openxmlformats.org/officeDocument/2006/relationships" name="Cálculos e cenário" sheetId="3" r:id="R3c1df67035a94fd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#,##0"/>
    <x:numFmt numFmtId="202" formatCode="0.0%"/>
    <x:numFmt numFmtId="203" formatCode="0.0"/>
  </x:numFmts>
  <x:fonts count="5">
    <x:font>
      <x:sz val="11"/>
      <x:name val="Carlito"/>
    </x:font>
    <x:font>
      <x:sz val="10"/>
      <x:color rgb="FF243244"/>
      <x:name val="Arial"/>
    </x:font>
    <x:font>
      <x:b/>
      <x:sz val="16"/>
      <x:color rgb="FF14263D"/>
      <x:name val="Arial"/>
    </x:font>
    <x:font>
      <x:b/>
      <x:sz val="10"/>
      <x:color rgb="FFFFFFFF"/>
      <x:name val="Arial"/>
    </x:font>
    <x:font>
      <x:b/>
      <x:sz val="10"/>
      <x:color rgb="FF24324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263D"/>
      </x:patternFill>
    </x:fill>
    <x:fill>
      <x:patternFill patternType="solid">
        <x:fgColor rgb="FFFFF2CC"/>
      </x:patternFill>
    </x:fill>
    <x:fill>
      <x:patternFill patternType="solid">
        <x:fgColor rgb="FFF5F7F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2" fontId="4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1a91f7a5a54bdf" /><Relationship Type="http://schemas.openxmlformats.org/officeDocument/2006/relationships/theme" Target="/xl/theme/theme1.xml" Id="R3da551c13dd44fc5" /><Relationship Type="http://schemas.openxmlformats.org/officeDocument/2006/relationships/sharedStrings" Target="/xl/sharedStrings.xml" Id="R2d18eae2343d4b31" /><Relationship Type="http://schemas.openxmlformats.org/officeDocument/2006/relationships/worksheet" Target="/xl/worksheets/sheet1.xml" Id="R43964d5287b74f55" /><Relationship Type="http://schemas.openxmlformats.org/officeDocument/2006/relationships/worksheet" Target="/xl/worksheets/sheet2.xml" Id="R6e7af2e068224825" /><Relationship Type="http://schemas.openxmlformats.org/officeDocument/2006/relationships/worksheet" Target="/xl/worksheets/sheet3.xml" Id="R3c1df67035a94fd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43b0343762f4aee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d10687a9d2114e6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>
                <a:latin typeface="Arial"/>
                <a:ea typeface="Arial"/>
                <a:cs typeface="Arial"/>
              </a:rPr>
              <a:t>Produção boa e meta diária (un)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Boa (un)</c:v>
          </c:tx>
          <c:spPr>
            <a:ln xmlns:a="http://schemas.openxmlformats.org/drawingml/2006/main" w="19050">
              <a:solidFill>
                <a:srgbClr val="087E8B"/>
              </a:solidFill>
              <a:prstDash val="solid"/>
            </a:ln>
          </c:spPr>
          <c:marker>
            <c:symbol val="none"/>
          </c:marker>
          <c:cat>
            <c:strRef>
              <c:f>'Resumo'!$A$19:$A$38</c:f>
              <c:strCache>
                <c:ptCount val="0"/>
              </c:strCache>
            </c:strRef>
          </c:cat>
          <c:val>
            <c:numRef>
              <c:f>'Resumo'!$B$19:$B$38</c:f>
              <c:numCache>
                <c:formatCode>0</c:formatCode>
                <c:ptCount val="0"/>
              </c:numCache>
            </c:numRef>
          </c:val>
          <c:smooth val="0"/>
        </c:ser>
        <c:ser>
          <c:idx val="1"/>
          <c:order val="1"/>
          <c:tx>
            <c:v>Meta (un)</c:v>
          </c:tx>
          <c:spPr>
            <a:ln xmlns:a="http://schemas.openxmlformats.org/drawingml/2006/main" w="19050">
              <a:solidFill>
                <a:srgbClr val="14263D"/>
              </a:solidFill>
              <a:prstDash val="dash"/>
            </a:ln>
          </c:spPr>
          <c:marker>
            <c:symbol val="none"/>
          </c:marker>
          <c:cat>
            <c:strRef>
              <c:f>'Resumo'!$A$19:$A$38</c:f>
              <c:strCache>
                <c:ptCount val="0"/>
              </c:strCache>
            </c:strRef>
          </c:cat>
          <c:val>
            <c:numRef>
              <c:f>'Resumo'!$C$19:$C$38</c:f>
              <c:numCache>
                <c:formatCode>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legend>
      <c:legendPos val="t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Capacidade por posto (un/turno)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Cap. base (un)</c:v>
          </c:tx>
          <c:spPr>
            <a:solidFill xmlns:a="http://schemas.openxmlformats.org/drawingml/2006/main">
              <a:srgbClr val="14263D"/>
            </a:solidFill>
          </c:spPr>
          <c:invertIfNegative val="0"/>
          <c:cat>
            <c:strRef>
              <c:f>'Cálculos e cenário'!$D$6:$D$10</c:f>
              <c:strCache>
                <c:ptCount val="0"/>
              </c:strCache>
            </c:strRef>
          </c:cat>
          <c:val>
            <c:numRef>
              <c:f>'Cálculos e cenário'!$G$6:$G$10</c:f>
              <c:numCache>
                <c:formatCode>0</c:formatCode>
                <c:ptCount val="0"/>
              </c:numCache>
            </c:numRef>
          </c:val>
        </c:ser>
        <c:ser>
          <c:idx val="1"/>
          <c:order val="1"/>
          <c:tx>
            <c:v>Cap. cenário (un)</c:v>
          </c:tx>
          <c:spPr>
            <a:solidFill xmlns:a="http://schemas.openxmlformats.org/drawingml/2006/main">
              <a:srgbClr val="087E8B"/>
            </a:solidFill>
          </c:spPr>
          <c:invertIfNegative val="0"/>
          <c:cat>
            <c:strRef>
              <c:f>'Cálculos e cenário'!$D$6:$D$10</c:f>
              <c:strCache>
                <c:ptCount val="0"/>
              </c:strCache>
            </c:strRef>
          </c:cat>
          <c:val>
            <c:numRef>
              <c:f>'Cálculos e cenário'!$H$6:$H$10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17</xdr:row>
      <xdr:rowOff>0</xdr:rowOff>
    </xdr:from>
    <xdr:to>
      <xdr:col>12</xdr:col>
      <xdr:colOff>0</xdr:colOff>
      <xdr:row>33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43b0343762f4aee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10</xdr:col>
      <xdr:colOff>0</xdr:colOff>
      <xdr:row>2</xdr:row>
      <xdr:rowOff>0</xdr:rowOff>
    </xdr:from>
    <xdr:to>
      <xdr:col>18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10687a9d2114e67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roducao" displayName="Producao" ref="A14:D34" headerRowCount="1" totalsRowCount="0" totalsRowShown="0">
  <x:tableColumns count="4">
    <x:tableColumn id="1" name="Data"/>
    <x:tableColumn id="2" name="Total (un)"/>
    <x:tableColumn id="3" name="Rejeições (un)"/>
    <x:tableColumn id="4" name="Meta boa (un)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aradas" displayName="Paradas" ref="I5:K65" headerRowCount="1" totalsRowCount="0" totalsRowShown="0">
  <x:tableColumns count="3">
    <x:tableColumn id="1" name="Data"/>
    <x:tableColumn id="2" name="Motivo da parada"/>
    <x:tableColumn id="3" name="Minuto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e9f0465965e04cf9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c0f8f4150cd42ca" /><Relationship Type="http://schemas.openxmlformats.org/officeDocument/2006/relationships/table" Target="/xl/tables/table2.xml" Id="R0f48c5fbcade430f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2.xml" Id="Rbec7bbf8533b406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18" hidden="0" customWidth="1"/>
    <x:col min="3" max="3" width="18" hidden="0" customWidth="1"/>
    <x:col min="4" max="4" width="29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0" customHeight="1">
      <x:c r="A2" s="3" t="str">
        <x:v>Vetor Soluções Digitais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</x:row>
    <x:row r="3" ht="23" customHeight="1">
      <x:c r="A3" s="2" t="str">
        <x:v>Linha de montagem | caso sintético | 2026-10-01 a 2026-10-28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</x:row>
    <x:row r="5" ht="32" customHeight="1">
      <x:c r="A5" s="6" t="str">
        <x:v>Resultado dos 20 dias</x:v>
      </x:c>
      <x:c r="B5" s="6" t="str">
        <x:v>Valor</x:v>
      </x:c>
      <x:c r="C5" s="2"/>
      <x:c r="D5" s="6" t="str">
        <x:v>Capacidade nominal</x:v>
      </x:c>
      <x:c r="E5" s="6" t="str">
        <x:v>Base</x:v>
      </x:c>
      <x:c r="F5" s="6" t="str">
        <x:v>Cenário</x:v>
      </x:c>
      <x:c r="G5" s="2"/>
      <x:c r="H5" s="2"/>
      <x:c r="I5" s="2"/>
      <x:c r="J5" s="2"/>
      <x:c r="K5" s="2"/>
      <x:c r="L5" s="2"/>
    </x:row>
    <x:row r="6" ht="23" customHeight="1">
      <x:c r="A6" s="2" t="str">
        <x:v>Produção boa (un)</x:v>
      </x:c>
      <x:c r="B6" s="2" t="n">
        <x:f>'Cálculos e cenário'!B41</x:f>
        <x:v>5924</x:v>
      </x:c>
      <x:c r="C6" s="2"/>
      <x:c r="D6" s="2" t="str">
        <x:v>Unidades por turno</x:v>
      </x:c>
      <x:c r="E6" s="2" t="n">
        <x:f>'Cálculos e cenário'!B12</x:f>
        <x:v>336</x:v>
      </x:c>
      <x:c r="F6" s="2" t="n">
        <x:f>'Cálculos e cenário'!C12</x:f>
        <x:v>420</x:v>
      </x:c>
      <x:c r="G6" s="2"/>
      <x:c r="H6" s="2"/>
      <x:c r="I6" s="2"/>
      <x:c r="J6" s="2"/>
      <x:c r="K6" s="2"/>
      <x:c r="L6" s="2"/>
    </x:row>
    <x:row r="7" ht="23" customHeight="1">
      <x:c r="A7" s="2" t="str">
        <x:v>Meta boa (un)</x:v>
      </x:c>
      <x:c r="B7" s="2" t="n">
        <x:f>'Cálculos e cenário'!C41</x:f>
        <x:v>6000</x:v>
      </x:c>
      <x:c r="C7" s="2"/>
      <x:c r="D7" s="2" t="str">
        <x:v>Balanceamento teórico</x:v>
      </x:c>
      <x:c r="E7" s="12" t="n">
        <x:f>'Cálculos e cenário'!B14</x:f>
        <x:v>0.76</x:v>
      </x:c>
      <x:c r="F7" s="12" t="n">
        <x:f>'Cálculos e cenário'!C14</x:f>
        <x:v>0.95</x:v>
      </x:c>
      <x:c r="G7" s="2"/>
      <x:c r="H7" s="2"/>
      <x:c r="I7" s="2"/>
      <x:c r="J7" s="2"/>
      <x:c r="K7" s="2"/>
      <x:c r="L7" s="2"/>
    </x:row>
    <x:row r="8" ht="23" customHeight="1">
      <x:c r="A8" s="2" t="str">
        <x:v>Atendimento ao plano</x:v>
      </x:c>
      <x:c r="B8" s="12" t="n">
        <x:f>'Cálculos e cenário'!G41</x:f>
        <x:v>0.9873333333333333</x:v>
      </x:c>
      <x:c r="C8" s="2"/>
      <x:c r="D8" s="2" t="str">
        <x:v>Maior ciclo (s)</x:v>
      </x:c>
      <x:c r="E8" s="2" t="n">
        <x:f>'Cálculos e cenário'!B13</x:f>
        <x:v>75</x:v>
      </x:c>
      <x:c r="F8" s="2" t="n">
        <x:f>'Cálculos e cenário'!C13</x:f>
        <x:v>60</x:v>
      </x:c>
      <x:c r="G8" s="2"/>
      <x:c r="H8" s="2"/>
      <x:c r="I8" s="2"/>
      <x:c r="J8" s="2"/>
      <x:c r="K8" s="2"/>
      <x:c r="L8" s="2"/>
    </x:row>
    <x:row r="9" ht="23" customHeight="1">
      <x:c r="A9" s="2" t="str">
        <x:v>Taxa de rejeição</x:v>
      </x:c>
      <x:c r="B9" s="12" t="n">
        <x:f>'Cálculos e cenário'!H41</x:f>
        <x:v>0.018230029830957905</x:v>
      </x:c>
      <x:c r="C9" s="2"/>
      <x:c r="D9" s="2" t="str">
        <x:v>Ganho nominal projetado</x:v>
      </x:c>
      <x:c r="E9" s="2"/>
      <x:c r="F9" s="12" t="n">
        <x:f>'Cálculos e cenário'!C16</x:f>
        <x:v>0.25</x:v>
      </x:c>
      <x:c r="G9" s="2"/>
      <x:c r="H9" s="2"/>
      <x:c r="I9" s="2"/>
      <x:c r="J9" s="2"/>
      <x:c r="K9" s="2"/>
      <x:c r="L9" s="2"/>
    </x:row>
    <x:row r="10" ht="23" customHeight="1">
      <x:c r="A10" s="2" t="str">
        <x:v>Parada da linha (min)</x:v>
      </x:c>
      <x:c r="B10" s="2" t="n">
        <x:f>'Cálculos e cenário'!D41</x:f>
        <x:v>725</x:v>
      </x:c>
      <x:c r="C10" s="2"/>
      <x:c r="D10" s="2"/>
      <x:c r="E10" s="2"/>
      <x:c r="F10" s="2"/>
      <x:c r="G10" s="2"/>
      <x:c r="H10" s="2"/>
      <x:c r="I10" s="2"/>
      <x:c r="J10" s="2"/>
      <x:c r="K10" s="2"/>
      <x:c r="L10" s="2"/>
    </x:row>
    <x:row r="11" ht="23" customHeight="1">
      <x:c r="A11" s="2" t="str">
        <x:v>Tempo parado (%)</x:v>
      </x:c>
      <x:c r="B11" s="12" t="n">
        <x:f>'Cálculos e cenário'!I41</x:f>
        <x:v>0.08630952380952381</x:v>
      </x:c>
      <x:c r="C11" s="2"/>
      <x:c r="D11" s="2"/>
      <x:c r="E11" s="2"/>
      <x:c r="F11" s="2"/>
      <x:c r="G11" s="2"/>
      <x:c r="H11" s="2"/>
      <x:c r="I11" s="2"/>
      <x:c r="J11" s="2"/>
      <x:c r="K11" s="2"/>
      <x:c r="L11" s="2"/>
    </x:row>
    <x:row r="12" ht="23" customHeight="1">
      <x:c r="A12" s="2" t="str">
        <x:v>Tempo operacional (min)</x:v>
      </x:c>
      <x:c r="B12" s="2" t="n">
        <x:f>'Cálculos e cenário'!F41</x:f>
        <x:v>7675</x:v>
      </x:c>
      <x:c r="C12" s="2"/>
      <x:c r="D12" s="2"/>
      <x:c r="E12" s="2"/>
      <x:c r="F12" s="2"/>
      <x:c r="G12" s="2"/>
      <x:c r="H12" s="2"/>
      <x:c r="I12" s="2"/>
      <x:c r="J12" s="2"/>
      <x:c r="K12" s="2"/>
      <x:c r="L12" s="2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</x:row>
    <x:row r="14" ht="23" customHeight="1">
      <x:c r="A14" s="2" t="str">
        <x:v>Capacidade é um limite nominal. Resultado é medido na saída. Cenário é hipótese, sem desconto duplo de perdas.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</x:row>
    <x:row r="15" ht="23" customHeight="1">
      <x:c r="A15" s="2" t="str">
        <x:f>"Gargalos base: "&amp;IF('Cálculos e cenário'!E6='Cálculos e cenário'!B13,"P1 ","")&amp;IF('Cálculos e cenário'!E7='Cálculos e cenário'!B13,"P2 ","")&amp;IF('Cálculos e cenário'!E8='Cálculos e cenário'!B13,"P3 ","")&amp;IF('Cálculos e cenário'!E9='Cálculos e cenário'!B13,"P4 ","")&amp;IF('Cálculos e cenário'!E10='Cálculos e cenário'!B13,"P5 ","")&amp;" | Cenário: "&amp;IF('Cálculos e cenário'!F6='Cálculos e cenário'!C13,"P1 ","")&amp;IF('Cálculos e cenário'!F7='Cálculos e cenário'!C13,"P2 ","")&amp;IF('Cálculos e cenário'!F8='Cálculos e cenário'!C13,"P3 ","")&amp;IF('Cálculos e cenário'!F9='Cálculos e cenário'!C13,"P4 ","")&amp;IF('Cálculos e cenário'!F10='Cálculos e cenário'!C13,"P5 ","")&amp;" | Trabalho cenário (s/un): "&amp;'Cálculos e cenário'!B8</x:f>
        <x:v>Gargalos base: P3  | Cenário: P2 P3  | Trabalho cenário (s/un): 285</x:v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</x:row>
    <x:row r="16" ht="23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</x:row>
    <x:row r="18" ht="32" customHeight="1">
      <x:c r="A18" s="6" t="str">
        <x:v>Dia</x:v>
      </x:c>
      <x:c r="B18" s="6" t="str">
        <x:v>Boa (un)</x:v>
      </x:c>
      <x:c r="C18" s="6" t="str">
        <x:v>Meta (un)</x:v>
      </x:c>
      <x:c r="D18" s="2"/>
      <x:c r="E18" s="2"/>
      <x:c r="F18" s="2"/>
      <x:c r="G18" s="2"/>
      <x:c r="H18" s="2"/>
      <x:c r="I18" s="2"/>
      <x:c r="J18" s="2"/>
      <x:c r="K18" s="2"/>
      <x:c r="L18" s="2"/>
    </x:row>
    <x:row r="19" ht="23" customHeight="1">
      <x:c r="A19" s="2" t="str">
        <x:f>TEXT('Cálculos e cenário'!A21,"dd/mm")</x:f>
        <x:v>01/10</x:v>
      </x:c>
      <x:c r="B19" s="2" t="n">
        <x:f>'Cálculos e cenário'!B21</x:f>
        <x:v>290</x:v>
      </x:c>
      <x:c r="C19" s="2" t="n">
        <x:f>'Cálculos e cenário'!C21</x:f>
        <x:v>300</x:v>
      </x:c>
      <x:c r="D19" s="2"/>
      <x:c r="E19" s="2"/>
      <x:c r="F19" s="2"/>
      <x:c r="G19" s="2"/>
      <x:c r="H19" s="2"/>
      <x:c r="I19" s="2"/>
      <x:c r="J19" s="2"/>
      <x:c r="K19" s="2"/>
      <x:c r="L19" s="2"/>
    </x:row>
    <x:row r="20" ht="23" customHeight="1">
      <x:c r="A20" s="2" t="str">
        <x:f>TEXT('Cálculos e cenário'!A22,"dd/mm")</x:f>
        <x:v>02/10</x:v>
      </x:c>
      <x:c r="B20" s="2" t="n">
        <x:f>'Cálculos e cenário'!B22</x:f>
        <x:v>297</x:v>
      </x:c>
      <x:c r="C20" s="2" t="n">
        <x:f>'Cálculos e cenário'!C22</x:f>
        <x:v>300</x:v>
      </x:c>
      <x:c r="D20" s="2"/>
      <x:c r="E20" s="2"/>
      <x:c r="F20" s="2"/>
      <x:c r="G20" s="2"/>
      <x:c r="H20" s="2"/>
      <x:c r="I20" s="2"/>
      <x:c r="J20" s="2"/>
      <x:c r="K20" s="2"/>
      <x:c r="L20" s="2"/>
    </x:row>
    <x:row r="21" ht="23" customHeight="1">
      <x:c r="A21" s="2" t="str">
        <x:f>TEXT('Cálculos e cenário'!A23,"dd/mm")</x:f>
        <x:v>05/10</x:v>
      </x:c>
      <x:c r="B21" s="2" t="n">
        <x:f>'Cálculos e cenário'!B23</x:f>
        <x:v>280</x:v>
      </x:c>
      <x:c r="C21" s="2" t="n">
        <x:f>'Cálculos e cenário'!C23</x:f>
        <x:v>300</x:v>
      </x:c>
      <x:c r="D21" s="2"/>
      <x:c r="E21" s="2"/>
      <x:c r="F21" s="2"/>
      <x:c r="G21" s="2"/>
      <x:c r="H21" s="2"/>
      <x:c r="I21" s="2"/>
      <x:c r="J21" s="2"/>
      <x:c r="K21" s="2"/>
      <x:c r="L21" s="2"/>
    </x:row>
    <x:row r="22" ht="23" customHeight="1">
      <x:c r="A22" s="2" t="str">
        <x:f>TEXT('Cálculos e cenário'!A24,"dd/mm")</x:f>
        <x:v>06/10</x:v>
      </x:c>
      <x:c r="B22" s="2" t="n">
        <x:f>'Cálculos e cenário'!B24</x:f>
        <x:v>306</x:v>
      </x:c>
      <x:c r="C22" s="2" t="n">
        <x:f>'Cálculos e cenário'!C24</x:f>
        <x:v>300</x:v>
      </x:c>
      <x:c r="D22" s="2"/>
      <x:c r="E22" s="2"/>
      <x:c r="F22" s="2"/>
      <x:c r="G22" s="2"/>
      <x:c r="H22" s="2"/>
      <x:c r="I22" s="2"/>
      <x:c r="J22" s="2"/>
      <x:c r="K22" s="2"/>
      <x:c r="L22" s="2"/>
    </x:row>
    <x:row r="23" ht="23" customHeight="1">
      <x:c r="A23" s="2" t="str">
        <x:f>TEXT('Cálculos e cenário'!A25,"dd/mm")</x:f>
        <x:v>07/10</x:v>
      </x:c>
      <x:c r="B23" s="2" t="n">
        <x:f>'Cálculos e cenário'!B25</x:f>
        <x:v>294</x:v>
      </x:c>
      <x:c r="C23" s="2" t="n">
        <x:f>'Cálculos e cenário'!C25</x:f>
        <x:v>300</x:v>
      </x:c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23" customHeight="1">
      <x:c r="A24" s="2" t="str">
        <x:f>TEXT('Cálculos e cenário'!A26,"dd/mm")</x:f>
        <x:v>08/10</x:v>
      </x:c>
      <x:c r="B24" s="2" t="n">
        <x:f>'Cálculos e cenário'!B26</x:f>
        <x:v>275</x:v>
      </x:c>
      <x:c r="C24" s="2" t="n">
        <x:f>'Cálculos e cenário'!C26</x:f>
        <x:v>300</x:v>
      </x:c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23" customHeight="1">
      <x:c r="A25" s="2" t="str">
        <x:f>TEXT('Cálculos e cenário'!A27,"dd/mm")</x:f>
        <x:v>09/10</x:v>
      </x:c>
      <x:c r="B25" s="2" t="n">
        <x:f>'Cálculos e cenário'!B27</x:f>
        <x:v>309</x:v>
      </x:c>
      <x:c r="C25" s="2" t="n">
        <x:f>'Cálculos e cenário'!C27</x:f>
        <x:v>300</x:v>
      </x:c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23" customHeight="1">
      <x:c r="A26" s="2" t="str">
        <x:f>TEXT('Cálculos e cenário'!A28,"dd/mm")</x:f>
        <x:v>12/10</x:v>
      </x:c>
      <x:c r="B26" s="2" t="n">
        <x:f>'Cálculos e cenário'!B28</x:f>
        <x:v>301</x:v>
      </x:c>
      <x:c r="C26" s="2" t="n">
        <x:f>'Cálculos e cenário'!C28</x:f>
        <x:v>300</x:v>
      </x:c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23" customHeight="1">
      <x:c r="A27" s="2" t="str">
        <x:f>TEXT('Cálculos e cenário'!A29,"dd/mm")</x:f>
        <x:v>13/10</x:v>
      </x:c>
      <x:c r="B27" s="2" t="n">
        <x:f>'Cálculos e cenário'!B29</x:f>
        <x:v>292</x:v>
      </x:c>
      <x:c r="C27" s="2" t="n">
        <x:f>'Cálculos e cenário'!C29</x:f>
        <x:v>300</x:v>
      </x:c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23" customHeight="1">
      <x:c r="A28" s="2" t="str">
        <x:f>TEXT('Cálculos e cenário'!A30,"dd/mm")</x:f>
        <x:v>14/10</x:v>
      </x:c>
      <x:c r="B28" s="2" t="n">
        <x:f>'Cálculos e cenário'!B30</x:f>
        <x:v>287</x:v>
      </x:c>
      <x:c r="C28" s="2" t="n">
        <x:f>'Cálculos e cenário'!C30</x:f>
        <x:v>300</x:v>
      </x:c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23" customHeight="1">
      <x:c r="A29" s="2" t="str">
        <x:f>TEXT('Cálculos e cenário'!A31,"dd/mm")</x:f>
        <x:v>15/10</x:v>
      </x:c>
      <x:c r="B29" s="2" t="n">
        <x:f>'Cálculos e cenário'!B31</x:f>
        <x:v>315</x:v>
      </x:c>
      <x:c r="C29" s="2" t="n">
        <x:f>'Cálculos e cenário'!C31</x:f>
        <x:v>300</x:v>
      </x:c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23" customHeight="1">
      <x:c r="A30" s="2" t="str">
        <x:f>TEXT('Cálculos e cenário'!A32,"dd/mm")</x:f>
        <x:v>16/10</x:v>
      </x:c>
      <x:c r="B30" s="2" t="n">
        <x:f>'Cálculos e cenário'!B32</x:f>
        <x:v>299</x:v>
      </x:c>
      <x:c r="C30" s="2" t="n">
        <x:f>'Cálculos e cenário'!C32</x:f>
        <x:v>300</x:v>
      </x:c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3" customHeight="1">
      <x:c r="A31" s="2" t="str">
        <x:f>TEXT('Cálculos e cenário'!A33,"dd/mm")</x:f>
        <x:v>19/10</x:v>
      </x:c>
      <x:c r="B31" s="2" t="n">
        <x:f>'Cálculos e cenário'!B33</x:f>
        <x:v>282</x:v>
      </x:c>
      <x:c r="C31" s="2" t="n">
        <x:f>'Cálculos e cenário'!C33</x:f>
        <x:v>300</x:v>
      </x:c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23" customHeight="1">
      <x:c r="A32" s="2" t="str">
        <x:f>TEXT('Cálculos e cenário'!A34,"dd/mm")</x:f>
        <x:v>20/10</x:v>
      </x:c>
      <x:c r="B32" s="2" t="n">
        <x:f>'Cálculos e cenário'!B34</x:f>
        <x:v>304</x:v>
      </x:c>
      <x:c r="C32" s="2" t="n">
        <x:f>'Cálculos e cenário'!C34</x:f>
        <x:v>300</x:v>
      </x:c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3" customHeight="1">
      <x:c r="A33" s="2" t="str">
        <x:f>TEXT('Cálculos e cenário'!A35,"dd/mm")</x:f>
        <x:v>21/10</x:v>
      </x:c>
      <x:c r="B33" s="2" t="n">
        <x:f>'Cálculos e cenário'!B35</x:f>
        <x:v>294</x:v>
      </x:c>
      <x:c r="C33" s="2" t="n">
        <x:f>'Cálculos e cenário'!C35</x:f>
        <x:v>300</x:v>
      </x:c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23" customHeight="1">
      <x:c r="A34" s="2" t="str">
        <x:f>TEXT('Cálculos e cenário'!A36,"dd/mm")</x:f>
        <x:v>22/10</x:v>
      </x:c>
      <x:c r="B34" s="2" t="n">
        <x:f>'Cálculos e cenário'!B36</x:f>
        <x:v>310</x:v>
      </x:c>
      <x:c r="C34" s="2" t="n">
        <x:f>'Cálculos e cenário'!C36</x:f>
        <x:v>300</x:v>
      </x:c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3" customHeight="1">
      <x:c r="A35" s="2" t="str">
        <x:f>TEXT('Cálculos e cenário'!A37,"dd/mm")</x:f>
        <x:v>23/10</x:v>
      </x:c>
      <x:c r="B35" s="2" t="n">
        <x:f>'Cálculos e cenário'!B37</x:f>
        <x:v>285</x:v>
      </x:c>
      <x:c r="C35" s="2" t="n">
        <x:f>'Cálculos e cenário'!C37</x:f>
        <x:v>300</x:v>
      </x:c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3" customHeight="1">
      <x:c r="A36" s="2" t="str">
        <x:f>TEXT('Cálculos e cenário'!A38,"dd/mm")</x:f>
        <x:v>26/10</x:v>
      </x:c>
      <x:c r="B36" s="2" t="n">
        <x:f>'Cálculos e cenário'!B38</x:f>
        <x:v>301</x:v>
      </x:c>
      <x:c r="C36" s="2" t="n">
        <x:f>'Cálculos e cenário'!C38</x:f>
        <x:v>300</x:v>
      </x:c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3" customHeight="1">
      <x:c r="A37" s="2" t="str">
        <x:f>TEXT('Cálculos e cenário'!A39,"dd/mm")</x:f>
        <x:v>27/10</x:v>
      </x:c>
      <x:c r="B37" s="2" t="n">
        <x:f>'Cálculos e cenário'!B39</x:f>
        <x:v>306</x:v>
      </x:c>
      <x:c r="C37" s="2" t="n">
        <x:f>'Cálculos e cenário'!C39</x:f>
        <x:v>300</x:v>
      </x:c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3" customHeight="1">
      <x:c r="A38" s="2" t="str">
        <x:f>TEXT('Cálculos e cenário'!A40,"dd/mm")</x:f>
        <x:v>28/10</x:v>
      </x:c>
      <x:c r="B38" s="2" t="n">
        <x:f>'Cálculos e cenário'!B40</x:f>
        <x:v>297</x:v>
      </x:c>
      <x:c r="C38" s="2" t="n">
        <x:f>'Cálculos e cenário'!C40</x:f>
        <x:v>300</x:v>
      </x:c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</x:sheetData>
  <x:pageMargins left="0.7" right="0.7" top="0.75" bottom="0.75" header="0.3" footer="0.3"/>
  <x:drawing xmlns:r="http://schemas.openxmlformats.org/officeDocument/2006/relationships" r:id="Re9f0465965e04cf9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28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  <x:col min="17" max="17" width="1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30" customHeight="1">
      <x:c r="A2" s="3" t="str">
        <x:v>Fonte sintética e entradas editáveis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3" customHeight="1">
      <x:c r="A3" s="2" t="str">
        <x:v>Entradas amarelas. Alterar aqui recalcula o Excel; para o BI, atualizar a fonte JSON e recarregar.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32" customHeight="1">
      <x:c r="A5" s="6" t="str">
        <x:v>Parâmetro</x:v>
      </x:c>
      <x:c r="B5" s="6" t="str">
        <x:v>Valor</x:v>
      </x:c>
      <x:c r="C5" s="6" t="str">
        <x:v>Unidade</x:v>
      </x:c>
      <x:c r="D5" s="2"/>
      <x:c r="E5" s="6" t="str">
        <x:v>Posto</x:v>
      </x:c>
      <x:c r="F5" s="6" t="str">
        <x:v>Ciclo base (s)</x:v>
      </x:c>
      <x:c r="G5" s="6" t="str">
        <x:v>Cenário (s)</x:v>
      </x:c>
      <x:c r="H5" s="2"/>
      <x:c r="I5" s="6" t="str">
        <x:v>Data</x:v>
      </x:c>
      <x:c r="J5" s="6" t="str">
        <x:v>Motivo da parada</x:v>
      </x:c>
      <x:c r="K5" s="6" t="str">
        <x:v>Minutos</x:v>
      </x:c>
      <x:c r="L5" s="2"/>
      <x:c r="M5" s="2"/>
      <x:c r="N5" s="2"/>
      <x:c r="O5" s="2"/>
      <x:c r="P5" s="2"/>
      <x:c r="Q5" s="2"/>
    </x:row>
    <x:row r="6" ht="23" customHeight="1">
      <x:c r="A6" s="2" t="str">
        <x:v>Turno</x:v>
      </x:c>
      <x:c r="B6" s="7" t="n">
        <x:v>480</x:v>
      </x:c>
      <x:c r="C6" s="2" t="str">
        <x:v>min</x:v>
      </x:c>
      <x:c r="D6" s="2"/>
      <x:c r="E6" s="2" t="str">
        <x:v>Posto 1</x:v>
      </x:c>
      <x:c r="F6" s="7" t="n">
        <x:v>45</x:v>
      </x:c>
      <x:c r="G6" s="7" t="n">
        <x:v>55</x:v>
      </x:c>
      <x:c r="H6" s="2"/>
      <x:c r="I6" s="10" t="d">
        <x:v>2026-10-01T12:00:00.000Z</x:v>
      </x:c>
      <x:c r="J6" s="7" t="str">
        <x:v>Ajuste de equipamento</x:v>
      </x:c>
      <x:c r="K6" s="7" t="n">
        <x:v>23</x:v>
      </x:c>
      <x:c r="L6" s="2"/>
      <x:c r="M6" s="2"/>
      <x:c r="N6" s="2"/>
      <x:c r="O6" s="2"/>
      <x:c r="P6" s="2"/>
      <x:c r="Q6" s="2"/>
    </x:row>
    <x:row r="7" ht="23" customHeight="1">
      <x:c r="A7" s="2" t="str">
        <x:v>Intervalos planejados</x:v>
      </x:c>
      <x:c r="B7" s="7" t="n">
        <x:v>60</x:v>
      </x:c>
      <x:c r="C7" s="2" t="str">
        <x:v>min</x:v>
      </x:c>
      <x:c r="D7" s="2"/>
      <x:c r="E7" s="2" t="str">
        <x:v>Posto 2</x:v>
      </x:c>
      <x:c r="F7" s="7" t="n">
        <x:v>60</x:v>
      </x:c>
      <x:c r="G7" s="7" t="n">
        <x:v>60</x:v>
      </x:c>
      <x:c r="H7" s="2"/>
      <x:c r="I7" s="10" t="d">
        <x:v>2026-10-01T12:00:00.000Z</x:v>
      </x:c>
      <x:c r="J7" s="7" t="str">
        <x:v>Espera de material</x:v>
      </x:c>
      <x:c r="K7" s="7" t="n">
        <x:v>14</x:v>
      </x:c>
      <x:c r="L7" s="2"/>
      <x:c r="M7" s="2"/>
      <x:c r="N7" s="2"/>
      <x:c r="O7" s="2"/>
      <x:c r="P7" s="2"/>
      <x:c r="Q7" s="2"/>
    </x:row>
    <x:row r="8" ht="23" customHeight="1">
      <x:c r="A8" s="2" t="str">
        <x:v>Operadores</x:v>
      </x:c>
      <x:c r="B8" s="16" t="n">
        <x:v>5</x:v>
      </x:c>
      <x:c r="C8" s="2" t="str">
        <x:v>pessoas</x:v>
      </x:c>
      <x:c r="D8" s="2"/>
      <x:c r="E8" s="2" t="str">
        <x:v>Posto 3</x:v>
      </x:c>
      <x:c r="F8" s="7" t="n">
        <x:v>75</x:v>
      </x:c>
      <x:c r="G8" s="7" t="n">
        <x:v>60</x:v>
      </x:c>
      <x:c r="H8" s="2"/>
      <x:c r="I8" s="10" t="d">
        <x:v>2026-10-01T12:00:00.000Z</x:v>
      </x:c>
      <x:c r="J8" s="7" t="str">
        <x:v>Troca de ferramenta</x:v>
      </x:c>
      <x:c r="K8" s="7" t="n">
        <x:v>8</x:v>
      </x:c>
      <x:c r="L8" s="2"/>
      <x:c r="M8" s="2"/>
      <x:c r="N8" s="2"/>
      <x:c r="O8" s="2"/>
      <x:c r="P8" s="2"/>
      <x:c r="Q8" s="2"/>
    </x:row>
    <x:row r="9" ht="23" customHeight="1">
      <x:c r="A9" s="2"/>
      <x:c r="B9" s="2"/>
      <x:c r="C9" s="2"/>
      <x:c r="D9" s="2"/>
      <x:c r="E9" s="2" t="str">
        <x:v>Posto 4</x:v>
      </x:c>
      <x:c r="F9" s="7" t="n">
        <x:v>55</x:v>
      </x:c>
      <x:c r="G9" s="7" t="n">
        <x:v>55</x:v>
      </x:c>
      <x:c r="H9" s="2"/>
      <x:c r="I9" s="10" t="d">
        <x:v>2026-10-02T12:00:00.000Z</x:v>
      </x:c>
      <x:c r="J9" s="7" t="str">
        <x:v>Ajuste de equipamento</x:v>
      </x:c>
      <x:c r="K9" s="7" t="n">
        <x:v>18</x:v>
      </x:c>
      <x:c r="L9" s="2"/>
      <x:c r="M9" s="2"/>
      <x:c r="N9" s="2"/>
      <x:c r="O9" s="2"/>
      <x:c r="P9" s="2"/>
      <x:c r="Q9" s="2"/>
    </x:row>
    <x:row r="10" ht="23" customHeight="1">
      <x:c r="A10" s="2"/>
      <x:c r="B10" s="2"/>
      <x:c r="C10" s="2"/>
      <x:c r="D10" s="2"/>
      <x:c r="E10" s="2" t="str">
        <x:v>Posto 5</x:v>
      </x:c>
      <x:c r="F10" s="7" t="n">
        <x:v>50</x:v>
      </x:c>
      <x:c r="G10" s="7" t="n">
        <x:v>55</x:v>
      </x:c>
      <x:c r="H10" s="2"/>
      <x:c r="I10" s="10" t="d">
        <x:v>2026-10-02T12:00:00.000Z</x:v>
      </x:c>
      <x:c r="J10" s="7" t="str">
        <x:v>Espera de material</x:v>
      </x:c>
      <x:c r="K10" s="7" t="n">
        <x:v>11</x:v>
      </x:c>
      <x:c r="L10" s="2"/>
      <x:c r="M10" s="2"/>
      <x:c r="N10" s="2"/>
      <x:c r="O10" s="2"/>
      <x:c r="P10" s="2"/>
      <x:c r="Q10" s="2"/>
    </x:row>
    <x:row r="11" ht="23" customHeight="1">
      <x:c r="A11" s="2"/>
      <x:c r="B11" s="2"/>
      <x:c r="C11" s="2"/>
      <x:c r="D11" s="2"/>
      <x:c r="E11" s="2"/>
      <x:c r="F11" s="2"/>
      <x:c r="G11" s="2"/>
      <x:c r="H11" s="2"/>
      <x:c r="I11" s="10" t="d">
        <x:v>2026-10-02T12:00:00.000Z</x:v>
      </x:c>
      <x:c r="J11" s="7" t="str">
        <x:v>Troca de ferramenta</x:v>
      </x:c>
      <x:c r="K11" s="7" t="n">
        <x:v>6</x:v>
      </x:c>
      <x:c r="L11" s="2"/>
      <x:c r="M11" s="2"/>
      <x:c r="N11" s="2"/>
      <x:c r="O11" s="2"/>
      <x:c r="P11" s="2"/>
      <x:c r="Q11" s="2"/>
    </x:row>
    <x:row r="12" ht="23" customHeight="1">
      <x:c r="A12" s="2" t="str">
        <x:v>Fonte: exemplo construído para portfólio; um produto, cinco postos sequenciais, um operador por posto.</x:v>
      </x:c>
      <x:c r="B12" s="2"/>
      <x:c r="C12" s="2"/>
      <x:c r="D12" s="2"/>
      <x:c r="E12" s="2"/>
      <x:c r="F12" s="2"/>
      <x:c r="G12" s="2"/>
      <x:c r="H12" s="2"/>
      <x:c r="I12" s="10" t="d">
        <x:v>2026-10-05T12:00:00.000Z</x:v>
      </x:c>
      <x:c r="J12" s="7" t="str">
        <x:v>Ajuste de equipamento</x:v>
      </x:c>
      <x:c r="K12" s="7" t="n">
        <x:v>28</x:v>
      </x:c>
      <x:c r="L12" s="2"/>
      <x:c r="M12" s="2"/>
      <x:c r="N12" s="2"/>
      <x:c r="O12" s="2"/>
      <x:c r="P12" s="2"/>
      <x:c r="Q12" s="2"/>
    </x:row>
    <x:row r="13" ht="23" customHeight="1">
      <x:c r="A13" s="2"/>
      <x:c r="B13" s="2"/>
      <x:c r="C13" s="2"/>
      <x:c r="D13" s="2"/>
      <x:c r="E13" s="2"/>
      <x:c r="F13" s="2"/>
      <x:c r="G13" s="2"/>
      <x:c r="H13" s="2"/>
      <x:c r="I13" s="10" t="d">
        <x:v>2026-10-05T12:00:00.000Z</x:v>
      </x:c>
      <x:c r="J13" s="7" t="str">
        <x:v>Espera de material</x:v>
      </x:c>
      <x:c r="K13" s="7" t="n">
        <x:v>17</x:v>
      </x:c>
      <x:c r="L13" s="2"/>
      <x:c r="M13" s="2"/>
      <x:c r="N13" s="2"/>
      <x:c r="O13" s="2"/>
      <x:c r="P13" s="2"/>
      <x:c r="Q13" s="2"/>
    </x:row>
    <x:row r="14" ht="32" customHeight="1">
      <x:c r="A14" s="6" t="str">
        <x:v>Data</x:v>
      </x:c>
      <x:c r="B14" s="6" t="str">
        <x:v>Total (un)</x:v>
      </x:c>
      <x:c r="C14" s="6" t="str">
        <x:v>Rejeições (un)</x:v>
      </x:c>
      <x:c r="D14" s="6" t="str">
        <x:v>Meta boa (un)</x:v>
      </x:c>
      <x:c r="E14" s="2"/>
      <x:c r="F14" s="2"/>
      <x:c r="G14" s="2"/>
      <x:c r="H14" s="2"/>
      <x:c r="I14" s="10" t="d">
        <x:v>2026-10-05T12:00:00.000Z</x:v>
      </x:c>
      <x:c r="J14" s="7" t="str">
        <x:v>Troca de ferramenta</x:v>
      </x:c>
      <x:c r="K14" s="7" t="n">
        <x:v>10</x:v>
      </x:c>
      <x:c r="L14" s="2"/>
      <x:c r="M14" s="2"/>
      <x:c r="N14" s="2"/>
      <x:c r="O14" s="2"/>
      <x:c r="P14" s="2"/>
      <x:c r="Q14" s="2"/>
    </x:row>
    <x:row r="15" ht="23" customHeight="1">
      <x:c r="A15" s="10" t="d">
        <x:v>2026-10-01T12:00:00.000Z</x:v>
      </x:c>
      <x:c r="B15" s="11" t="n">
        <x:v>296</x:v>
      </x:c>
      <x:c r="C15" s="11" t="n">
        <x:v>6</x:v>
      </x:c>
      <x:c r="D15" s="11" t="n">
        <x:v>300</x:v>
      </x:c>
      <x:c r="E15" s="2"/>
      <x:c r="F15" s="2"/>
      <x:c r="G15" s="2"/>
      <x:c r="H15" s="2"/>
      <x:c r="I15" s="10" t="d">
        <x:v>2026-10-06T12:00:00.000Z</x:v>
      </x:c>
      <x:c r="J15" s="7" t="str">
        <x:v>Ajuste de equipamento</x:v>
      </x:c>
      <x:c r="K15" s="7" t="n">
        <x:v>13</x:v>
      </x:c>
      <x:c r="L15" s="2"/>
      <x:c r="M15" s="2"/>
      <x:c r="N15" s="2"/>
      <x:c r="O15" s="2"/>
      <x:c r="P15" s="2"/>
      <x:c r="Q15" s="2"/>
    </x:row>
    <x:row r="16" ht="23" customHeight="1">
      <x:c r="A16" s="10" t="d">
        <x:v>2026-10-02T12:00:00.000Z</x:v>
      </x:c>
      <x:c r="B16" s="11" t="n">
        <x:v>302</x:v>
      </x:c>
      <x:c r="C16" s="11" t="n">
        <x:v>5</x:v>
      </x:c>
      <x:c r="D16" s="11" t="n">
        <x:v>300</x:v>
      </x:c>
      <x:c r="E16" s="2"/>
      <x:c r="F16" s="2"/>
      <x:c r="G16" s="2"/>
      <x:c r="H16" s="2"/>
      <x:c r="I16" s="10" t="d">
        <x:v>2026-10-06T12:00:00.000Z</x:v>
      </x:c>
      <x:c r="J16" s="7" t="str">
        <x:v>Espera de material</x:v>
      </x:c>
      <x:c r="K16" s="7" t="n">
        <x:v>8</x:v>
      </x:c>
      <x:c r="L16" s="2"/>
      <x:c r="M16" s="2"/>
      <x:c r="N16" s="2"/>
      <x:c r="O16" s="2"/>
      <x:c r="P16" s="2"/>
      <x:c r="Q16" s="2"/>
    </x:row>
    <x:row r="17" ht="23" customHeight="1">
      <x:c r="A17" s="10" t="d">
        <x:v>2026-10-05T12:00:00.000Z</x:v>
      </x:c>
      <x:c r="B17" s="11" t="n">
        <x:v>288</x:v>
      </x:c>
      <x:c r="C17" s="11" t="n">
        <x:v>8</x:v>
      </x:c>
      <x:c r="D17" s="11" t="n">
        <x:v>300</x:v>
      </x:c>
      <x:c r="E17" s="2"/>
      <x:c r="F17" s="2"/>
      <x:c r="G17" s="2"/>
      <x:c r="H17" s="2"/>
      <x:c r="I17" s="10" t="d">
        <x:v>2026-10-06T12:00:00.000Z</x:v>
      </x:c>
      <x:c r="J17" s="7" t="str">
        <x:v>Troca de ferramenta</x:v>
      </x:c>
      <x:c r="K17" s="7" t="n">
        <x:v>4</x:v>
      </x:c>
      <x:c r="L17" s="2"/>
      <x:c r="M17" s="2"/>
      <x:c r="N17" s="2"/>
      <x:c r="O17" s="2"/>
      <x:c r="P17" s="2"/>
      <x:c r="Q17" s="2"/>
    </x:row>
    <x:row r="18" ht="23" customHeight="1">
      <x:c r="A18" s="10" t="d">
        <x:v>2026-10-06T12:00:00.000Z</x:v>
      </x:c>
      <x:c r="B18" s="11" t="n">
        <x:v>310</x:v>
      </x:c>
      <x:c r="C18" s="11" t="n">
        <x:v>4</x:v>
      </x:c>
      <x:c r="D18" s="11" t="n">
        <x:v>300</x:v>
      </x:c>
      <x:c r="E18" s="2"/>
      <x:c r="F18" s="2"/>
      <x:c r="G18" s="2"/>
      <x:c r="H18" s="2"/>
      <x:c r="I18" s="10" t="d">
        <x:v>2026-10-07T12:00:00.000Z</x:v>
      </x:c>
      <x:c r="J18" s="7" t="str">
        <x:v>Ajuste de equipamento</x:v>
      </x:c>
      <x:c r="K18" s="7" t="n">
        <x:v>20</x:v>
      </x:c>
      <x:c r="L18" s="2"/>
      <x:c r="M18" s="2"/>
      <x:c r="N18" s="2"/>
      <x:c r="O18" s="2"/>
      <x:c r="P18" s="2"/>
      <x:c r="Q18" s="2"/>
    </x:row>
    <x:row r="19" ht="23" customHeight="1">
      <x:c r="A19" s="10" t="d">
        <x:v>2026-10-07T12:00:00.000Z</x:v>
      </x:c>
      <x:c r="B19" s="11" t="n">
        <x:v>300</x:v>
      </x:c>
      <x:c r="C19" s="11" t="n">
        <x:v>6</x:v>
      </x:c>
      <x:c r="D19" s="11" t="n">
        <x:v>300</x:v>
      </x:c>
      <x:c r="E19" s="2"/>
      <x:c r="F19" s="2"/>
      <x:c r="G19" s="2"/>
      <x:c r="H19" s="2"/>
      <x:c r="I19" s="10" t="d">
        <x:v>2026-10-07T12:00:00.000Z</x:v>
      </x:c>
      <x:c r="J19" s="7" t="str">
        <x:v>Espera de material</x:v>
      </x:c>
      <x:c r="K19" s="7" t="n">
        <x:v>12</x:v>
      </x:c>
      <x:c r="L19" s="2"/>
      <x:c r="M19" s="2"/>
      <x:c r="N19" s="2"/>
      <x:c r="O19" s="2"/>
      <x:c r="P19" s="2"/>
      <x:c r="Q19" s="2"/>
    </x:row>
    <x:row r="20" ht="23" customHeight="1">
      <x:c r="A20" s="10" t="d">
        <x:v>2026-10-08T12:00:00.000Z</x:v>
      </x:c>
      <x:c r="B20" s="11" t="n">
        <x:v>284</x:v>
      </x:c>
      <x:c r="C20" s="11" t="n">
        <x:v>9</x:v>
      </x:c>
      <x:c r="D20" s="11" t="n">
        <x:v>300</x:v>
      </x:c>
      <x:c r="E20" s="2"/>
      <x:c r="F20" s="2"/>
      <x:c r="G20" s="2"/>
      <x:c r="H20" s="2"/>
      <x:c r="I20" s="10" t="d">
        <x:v>2026-10-07T12:00:00.000Z</x:v>
      </x:c>
      <x:c r="J20" s="7" t="str">
        <x:v>Troca de ferramenta</x:v>
      </x:c>
      <x:c r="K20" s="7" t="n">
        <x:v>8</x:v>
      </x:c>
      <x:c r="L20" s="2"/>
      <x:c r="M20" s="2"/>
      <x:c r="N20" s="2"/>
      <x:c r="O20" s="2"/>
      <x:c r="P20" s="2"/>
      <x:c r="Q20" s="2"/>
    </x:row>
    <x:row r="21" ht="23" customHeight="1">
      <x:c r="A21" s="10" t="d">
        <x:v>2026-10-09T12:00:00.000Z</x:v>
      </x:c>
      <x:c r="B21" s="11" t="n">
        <x:v>312</x:v>
      </x:c>
      <x:c r="C21" s="11" t="n">
        <x:v>3</x:v>
      </x:c>
      <x:c r="D21" s="11" t="n">
        <x:v>300</x:v>
      </x:c>
      <x:c r="E21" s="2"/>
      <x:c r="F21" s="2"/>
      <x:c r="G21" s="2"/>
      <x:c r="H21" s="2"/>
      <x:c r="I21" s="10" t="d">
        <x:v>2026-10-08T12:00:00.000Z</x:v>
      </x:c>
      <x:c r="J21" s="7" t="str">
        <x:v>Ajuste de equipamento</x:v>
      </x:c>
      <x:c r="K21" s="7" t="n">
        <x:v>30</x:v>
      </x:c>
      <x:c r="L21" s="2"/>
      <x:c r="M21" s="2"/>
      <x:c r="N21" s="2"/>
      <x:c r="O21" s="2"/>
      <x:c r="P21" s="2"/>
      <x:c r="Q21" s="2"/>
    </x:row>
    <x:row r="22" ht="23" customHeight="1">
      <x:c r="A22" s="10" t="d">
        <x:v>2026-10-12T12:00:00.000Z</x:v>
      </x:c>
      <x:c r="B22" s="11" t="n">
        <x:v>306</x:v>
      </x:c>
      <x:c r="C22" s="11" t="n">
        <x:v>5</x:v>
      </x:c>
      <x:c r="D22" s="11" t="n">
        <x:v>300</x:v>
      </x:c>
      <x:c r="E22" s="2"/>
      <x:c r="F22" s="2"/>
      <x:c r="G22" s="2"/>
      <x:c r="H22" s="2"/>
      <x:c r="I22" s="10" t="d">
        <x:v>2026-10-08T12:00:00.000Z</x:v>
      </x:c>
      <x:c r="J22" s="7" t="str">
        <x:v>Espera de material</x:v>
      </x:c>
      <x:c r="K22" s="7" t="n">
        <x:v>18</x:v>
      </x:c>
      <x:c r="L22" s="2"/>
      <x:c r="M22" s="2"/>
      <x:c r="N22" s="2"/>
      <x:c r="O22" s="2"/>
      <x:c r="P22" s="2"/>
      <x:c r="Q22" s="2"/>
    </x:row>
    <x:row r="23" ht="23" customHeight="1">
      <x:c r="A23" s="10" t="d">
        <x:v>2026-10-13T12:00:00.000Z</x:v>
      </x:c>
      <x:c r="B23" s="11" t="n">
        <x:v>298</x:v>
      </x:c>
      <x:c r="C23" s="11" t="n">
        <x:v>6</x:v>
      </x:c>
      <x:c r="D23" s="11" t="n">
        <x:v>300</x:v>
      </x:c>
      <x:c r="E23" s="2"/>
      <x:c r="F23" s="2"/>
      <x:c r="G23" s="2"/>
      <x:c r="H23" s="2"/>
      <x:c r="I23" s="10" t="d">
        <x:v>2026-10-08T12:00:00.000Z</x:v>
      </x:c>
      <x:c r="J23" s="7" t="str">
        <x:v>Troca de ferramenta</x:v>
      </x:c>
      <x:c r="K23" s="7" t="n">
        <x:v>12</x:v>
      </x:c>
      <x:c r="L23" s="2"/>
      <x:c r="M23" s="2"/>
      <x:c r="N23" s="2"/>
      <x:c r="O23" s="2"/>
      <x:c r="P23" s="2"/>
      <x:c r="Q23" s="2"/>
    </x:row>
    <x:row r="24" ht="23" customHeight="1">
      <x:c r="A24" s="10" t="d">
        <x:v>2026-10-14T12:00:00.000Z</x:v>
      </x:c>
      <x:c r="B24" s="11" t="n">
        <x:v>294</x:v>
      </x:c>
      <x:c r="C24" s="11" t="n">
        <x:v>7</x:v>
      </x:c>
      <x:c r="D24" s="11" t="n">
        <x:v>300</x:v>
      </x:c>
      <x:c r="E24" s="2"/>
      <x:c r="F24" s="2"/>
      <x:c r="G24" s="2"/>
      <x:c r="H24" s="2"/>
      <x:c r="I24" s="10" t="d">
        <x:v>2026-10-09T12:00:00.000Z</x:v>
      </x:c>
      <x:c r="J24" s="7" t="str">
        <x:v>Ajuste de equipamento</x:v>
      </x:c>
      <x:c r="K24" s="7" t="n">
        <x:v>10</x:v>
      </x:c>
      <x:c r="L24" s="2"/>
      <x:c r="M24" s="2"/>
      <x:c r="N24" s="2"/>
      <x:c r="O24" s="2"/>
      <x:c r="P24" s="2"/>
      <x:c r="Q24" s="2"/>
    </x:row>
    <x:row r="25" ht="23" customHeight="1">
      <x:c r="A25" s="10" t="d">
        <x:v>2026-10-15T12:00:00.000Z</x:v>
      </x:c>
      <x:c r="B25" s="11" t="n">
        <x:v>318</x:v>
      </x:c>
      <x:c r="C25" s="11" t="n">
        <x:v>3</x:v>
      </x:c>
      <x:c r="D25" s="11" t="n">
        <x:v>300</x:v>
      </x:c>
      <x:c r="E25" s="2"/>
      <x:c r="F25" s="2"/>
      <x:c r="G25" s="2"/>
      <x:c r="H25" s="2"/>
      <x:c r="I25" s="10" t="d">
        <x:v>2026-10-09T12:00:00.000Z</x:v>
      </x:c>
      <x:c r="J25" s="7" t="str">
        <x:v>Espera de material</x:v>
      </x:c>
      <x:c r="K25" s="7" t="n">
        <x:v>6</x:v>
      </x:c>
      <x:c r="L25" s="2"/>
      <x:c r="M25" s="2"/>
      <x:c r="N25" s="2"/>
      <x:c r="O25" s="2"/>
      <x:c r="P25" s="2"/>
      <x:c r="Q25" s="2"/>
    </x:row>
    <x:row r="26" ht="23" customHeight="1">
      <x:c r="A26" s="10" t="d">
        <x:v>2026-10-16T12:00:00.000Z</x:v>
      </x:c>
      <x:c r="B26" s="11" t="n">
        <x:v>304</x:v>
      </x:c>
      <x:c r="C26" s="11" t="n">
        <x:v>5</x:v>
      </x:c>
      <x:c r="D26" s="11" t="n">
        <x:v>300</x:v>
      </x:c>
      <x:c r="E26" s="2"/>
      <x:c r="F26" s="2"/>
      <x:c r="G26" s="2"/>
      <x:c r="H26" s="2"/>
      <x:c r="I26" s="10" t="d">
        <x:v>2026-10-09T12:00:00.000Z</x:v>
      </x:c>
      <x:c r="J26" s="7" t="str">
        <x:v>Troca de ferramenta</x:v>
      </x:c>
      <x:c r="K26" s="7" t="n">
        <x:v>4</x:v>
      </x:c>
      <x:c r="L26" s="2"/>
      <x:c r="M26" s="2"/>
      <x:c r="N26" s="2"/>
      <x:c r="O26" s="2"/>
      <x:c r="P26" s="2"/>
      <x:c r="Q26" s="2"/>
    </x:row>
    <x:row r="27" ht="23" customHeight="1">
      <x:c r="A27" s="10" t="d">
        <x:v>2026-10-19T12:00:00.000Z</x:v>
      </x:c>
      <x:c r="B27" s="11" t="n">
        <x:v>290</x:v>
      </x:c>
      <x:c r="C27" s="11" t="n">
        <x:v>8</x:v>
      </x:c>
      <x:c r="D27" s="11" t="n">
        <x:v>300</x:v>
      </x:c>
      <x:c r="E27" s="2"/>
      <x:c r="F27" s="2"/>
      <x:c r="G27" s="2"/>
      <x:c r="H27" s="2"/>
      <x:c r="I27" s="10" t="d">
        <x:v>2026-10-12T12:00:00.000Z</x:v>
      </x:c>
      <x:c r="J27" s="7" t="str">
        <x:v>Ajuste de equipamento</x:v>
      </x:c>
      <x:c r="K27" s="7" t="n">
        <x:v>15</x:v>
      </x:c>
      <x:c r="L27" s="2"/>
      <x:c r="M27" s="2"/>
      <x:c r="N27" s="2"/>
      <x:c r="O27" s="2"/>
      <x:c r="P27" s="2"/>
      <x:c r="Q27" s="2"/>
    </x:row>
    <x:row r="28" ht="23" customHeight="1">
      <x:c r="A28" s="10" t="d">
        <x:v>2026-10-20T12:00:00.000Z</x:v>
      </x:c>
      <x:c r="B28" s="11" t="n">
        <x:v>308</x:v>
      </x:c>
      <x:c r="C28" s="11" t="n">
        <x:v>4</x:v>
      </x:c>
      <x:c r="D28" s="11" t="n">
        <x:v>300</x:v>
      </x:c>
      <x:c r="E28" s="2"/>
      <x:c r="F28" s="2"/>
      <x:c r="G28" s="2"/>
      <x:c r="H28" s="2"/>
      <x:c r="I28" s="10" t="d">
        <x:v>2026-10-12T12:00:00.000Z</x:v>
      </x:c>
      <x:c r="J28" s="7" t="str">
        <x:v>Espera de material</x:v>
      </x:c>
      <x:c r="K28" s="7" t="n">
        <x:v>9</x:v>
      </x:c>
      <x:c r="L28" s="2"/>
      <x:c r="M28" s="2"/>
      <x:c r="N28" s="2"/>
      <x:c r="O28" s="2"/>
      <x:c r="P28" s="2"/>
      <x:c r="Q28" s="2"/>
    </x:row>
    <x:row r="29" ht="23" customHeight="1">
      <x:c r="A29" s="10" t="d">
        <x:v>2026-10-21T12:00:00.000Z</x:v>
      </x:c>
      <x:c r="B29" s="11" t="n">
        <x:v>300</x:v>
      </x:c>
      <x:c r="C29" s="11" t="n">
        <x:v>6</x:v>
      </x:c>
      <x:c r="D29" s="11" t="n">
        <x:v>300</x:v>
      </x:c>
      <x:c r="E29" s="2"/>
      <x:c r="F29" s="2"/>
      <x:c r="G29" s="2"/>
      <x:c r="H29" s="2"/>
      <x:c r="I29" s="10" t="d">
        <x:v>2026-10-12T12:00:00.000Z</x:v>
      </x:c>
      <x:c r="J29" s="7" t="str">
        <x:v>Troca de ferramenta</x:v>
      </x:c>
      <x:c r="K29" s="7" t="n">
        <x:v>6</x:v>
      </x:c>
      <x:c r="L29" s="2"/>
      <x:c r="M29" s="2"/>
      <x:c r="N29" s="2"/>
      <x:c r="O29" s="2"/>
      <x:c r="P29" s="2"/>
      <x:c r="Q29" s="2"/>
    </x:row>
    <x:row r="30" ht="23" customHeight="1">
      <x:c r="A30" s="10" t="d">
        <x:v>2026-10-22T12:00:00.000Z</x:v>
      </x:c>
      <x:c r="B30" s="11" t="n">
        <x:v>314</x:v>
      </x:c>
      <x:c r="C30" s="11" t="n">
        <x:v>4</x:v>
      </x:c>
      <x:c r="D30" s="11" t="n">
        <x:v>300</x:v>
      </x:c>
      <x:c r="E30" s="2"/>
      <x:c r="F30" s="2"/>
      <x:c r="G30" s="2"/>
      <x:c r="H30" s="2"/>
      <x:c r="I30" s="10" t="d">
        <x:v>2026-10-13T12:00:00.000Z</x:v>
      </x:c>
      <x:c r="J30" s="7" t="str">
        <x:v>Ajuste de equipamento</x:v>
      </x:c>
      <x:c r="K30" s="7" t="n">
        <x:v>20</x:v>
      </x:c>
      <x:c r="L30" s="2"/>
      <x:c r="M30" s="2"/>
      <x:c r="N30" s="2"/>
      <x:c r="O30" s="2"/>
      <x:c r="P30" s="2"/>
      <x:c r="Q30" s="2"/>
    </x:row>
    <x:row r="31" ht="23" customHeight="1">
      <x:c r="A31" s="10" t="d">
        <x:v>2026-10-23T12:00:00.000Z</x:v>
      </x:c>
      <x:c r="B31" s="11" t="n">
        <x:v>292</x:v>
      </x:c>
      <x:c r="C31" s="11" t="n">
        <x:v>7</x:v>
      </x:c>
      <x:c r="D31" s="11" t="n">
        <x:v>300</x:v>
      </x:c>
      <x:c r="E31" s="2"/>
      <x:c r="F31" s="2"/>
      <x:c r="G31" s="2"/>
      <x:c r="H31" s="2"/>
      <x:c r="I31" s="10" t="d">
        <x:v>2026-10-13T12:00:00.000Z</x:v>
      </x:c>
      <x:c r="J31" s="7" t="str">
        <x:v>Espera de material</x:v>
      </x:c>
      <x:c r="K31" s="7" t="n">
        <x:v>12</x:v>
      </x:c>
      <x:c r="L31" s="2"/>
      <x:c r="M31" s="2"/>
      <x:c r="N31" s="2"/>
      <x:c r="O31" s="2"/>
      <x:c r="P31" s="2"/>
      <x:c r="Q31" s="2"/>
    </x:row>
    <x:row r="32" ht="23" customHeight="1">
      <x:c r="A32" s="10" t="d">
        <x:v>2026-10-26T12:00:00.000Z</x:v>
      </x:c>
      <x:c r="B32" s="11" t="n">
        <x:v>306</x:v>
      </x:c>
      <x:c r="C32" s="11" t="n">
        <x:v>5</x:v>
      </x:c>
      <x:c r="D32" s="11" t="n">
        <x:v>300</x:v>
      </x:c>
      <x:c r="E32" s="2"/>
      <x:c r="F32" s="2"/>
      <x:c r="G32" s="2"/>
      <x:c r="H32" s="2"/>
      <x:c r="I32" s="10" t="d">
        <x:v>2026-10-13T12:00:00.000Z</x:v>
      </x:c>
      <x:c r="J32" s="7" t="str">
        <x:v>Troca de ferramenta</x:v>
      </x:c>
      <x:c r="K32" s="7" t="n">
        <x:v>8</x:v>
      </x:c>
      <x:c r="L32" s="2"/>
      <x:c r="M32" s="2"/>
      <x:c r="N32" s="2"/>
      <x:c r="O32" s="2"/>
      <x:c r="P32" s="2"/>
      <x:c r="Q32" s="2"/>
    </x:row>
    <x:row r="33" ht="23" customHeight="1">
      <x:c r="A33" s="10" t="d">
        <x:v>2026-10-27T12:00:00.000Z</x:v>
      </x:c>
      <x:c r="B33" s="11" t="n">
        <x:v>310</x:v>
      </x:c>
      <x:c r="C33" s="11" t="n">
        <x:v>4</x:v>
      </x:c>
      <x:c r="D33" s="11" t="n">
        <x:v>300</x:v>
      </x:c>
      <x:c r="E33" s="2"/>
      <x:c r="F33" s="2"/>
      <x:c r="G33" s="2"/>
      <x:c r="H33" s="2"/>
      <x:c r="I33" s="10" t="d">
        <x:v>2026-10-14T12:00:00.000Z</x:v>
      </x:c>
      <x:c r="J33" s="7" t="str">
        <x:v>Ajuste de equipamento</x:v>
      </x:c>
      <x:c r="K33" s="7" t="n">
        <x:v>23</x:v>
      </x:c>
      <x:c r="L33" s="2"/>
      <x:c r="M33" s="2"/>
      <x:c r="N33" s="2"/>
      <x:c r="O33" s="2"/>
      <x:c r="P33" s="2"/>
      <x:c r="Q33" s="2"/>
    </x:row>
    <x:row r="34" ht="23" customHeight="1">
      <x:c r="A34" s="10" t="d">
        <x:v>2026-10-28T12:00:00.000Z</x:v>
      </x:c>
      <x:c r="B34" s="11" t="n">
        <x:v>302</x:v>
      </x:c>
      <x:c r="C34" s="11" t="n">
        <x:v>5</x:v>
      </x:c>
      <x:c r="D34" s="11" t="n">
        <x:v>300</x:v>
      </x:c>
      <x:c r="E34" s="2"/>
      <x:c r="F34" s="2"/>
      <x:c r="G34" s="2"/>
      <x:c r="H34" s="2"/>
      <x:c r="I34" s="10" t="d">
        <x:v>2026-10-14T12:00:00.000Z</x:v>
      </x:c>
      <x:c r="J34" s="7" t="str">
        <x:v>Espera de material</x:v>
      </x:c>
      <x:c r="K34" s="7" t="n">
        <x:v>14</x:v>
      </x:c>
      <x:c r="L34" s="2"/>
      <x:c r="M34" s="2"/>
      <x:c r="N34" s="2"/>
      <x:c r="O34" s="2"/>
      <x:c r="P34" s="2"/>
      <x:c r="Q34" s="2"/>
    </x:row>
    <x:row r="35" ht="23" customHeight="1">
      <x:c r="A35" s="2"/>
      <x:c r="B35" s="2"/>
      <x:c r="C35" s="2"/>
      <x:c r="D35" s="2"/>
      <x:c r="E35" s="2"/>
      <x:c r="F35" s="2"/>
      <x:c r="G35" s="2"/>
      <x:c r="H35" s="2"/>
      <x:c r="I35" s="10" t="d">
        <x:v>2026-10-14T12:00:00.000Z</x:v>
      </x:c>
      <x:c r="J35" s="7" t="str">
        <x:v>Troca de ferramenta</x:v>
      </x:c>
      <x:c r="K35" s="7" t="n">
        <x:v>8</x:v>
      </x:c>
      <x:c r="L35" s="2"/>
      <x:c r="M35" s="2"/>
      <x:c r="N35" s="2"/>
      <x:c r="O35" s="2"/>
      <x:c r="P35" s="2"/>
      <x:c r="Q35" s="2"/>
    </x:row>
    <x:row r="36" ht="23" customHeight="1">
      <x:c r="A36" s="2"/>
      <x:c r="B36" s="2"/>
      <x:c r="C36" s="2"/>
      <x:c r="D36" s="2"/>
      <x:c r="E36" s="2"/>
      <x:c r="F36" s="2"/>
      <x:c r="G36" s="2"/>
      <x:c r="H36" s="2"/>
      <x:c r="I36" s="10" t="d">
        <x:v>2026-10-15T12:00:00.000Z</x:v>
      </x:c>
      <x:c r="J36" s="7" t="str">
        <x:v>Ajuste de equipamento</x:v>
      </x:c>
      <x:c r="K36" s="7" t="n">
        <x:v>8</x:v>
      </x:c>
      <x:c r="L36" s="2"/>
      <x:c r="M36" s="2"/>
      <x:c r="N36" s="2"/>
      <x:c r="O36" s="2"/>
      <x:c r="P36" s="2"/>
      <x:c r="Q36" s="2"/>
    </x:row>
    <x:row r="37" ht="23" customHeight="1">
      <x:c r="A37" s="2"/>
      <x:c r="B37" s="2"/>
      <x:c r="C37" s="2"/>
      <x:c r="D37" s="2"/>
      <x:c r="E37" s="2"/>
      <x:c r="F37" s="2"/>
      <x:c r="G37" s="2"/>
      <x:c r="H37" s="2"/>
      <x:c r="I37" s="10" t="d">
        <x:v>2026-10-15T12:00:00.000Z</x:v>
      </x:c>
      <x:c r="J37" s="7" t="str">
        <x:v>Espera de material</x:v>
      </x:c>
      <x:c r="K37" s="7" t="n">
        <x:v>5</x:v>
      </x:c>
      <x:c r="L37" s="2"/>
      <x:c r="M37" s="2"/>
      <x:c r="N37" s="2"/>
      <x:c r="O37" s="2"/>
      <x:c r="P37" s="2"/>
      <x:c r="Q37" s="2"/>
    </x:row>
    <x:row r="38" ht="23" customHeight="1">
      <x:c r="A38" s="2"/>
      <x:c r="B38" s="2"/>
      <x:c r="C38" s="2"/>
      <x:c r="D38" s="2"/>
      <x:c r="E38" s="2"/>
      <x:c r="F38" s="2"/>
      <x:c r="G38" s="2"/>
      <x:c r="H38" s="2"/>
      <x:c r="I38" s="10" t="d">
        <x:v>2026-10-15T12:00:00.000Z</x:v>
      </x:c>
      <x:c r="J38" s="7" t="str">
        <x:v>Troca de ferramenta</x:v>
      </x:c>
      <x:c r="K38" s="7" t="n">
        <x:v>2</x:v>
      </x:c>
      <x:c r="L38" s="2"/>
      <x:c r="M38" s="2"/>
      <x:c r="N38" s="2"/>
      <x:c r="O38" s="2"/>
      <x:c r="P38" s="2"/>
      <x:c r="Q38" s="2"/>
    </x:row>
    <x:row r="39" ht="23" customHeight="1">
      <x:c r="A39" s="2"/>
      <x:c r="B39" s="2"/>
      <x:c r="C39" s="2"/>
      <x:c r="D39" s="2"/>
      <x:c r="E39" s="2"/>
      <x:c r="F39" s="2"/>
      <x:c r="G39" s="2"/>
      <x:c r="H39" s="2"/>
      <x:c r="I39" s="10" t="d">
        <x:v>2026-10-16T12:00:00.000Z</x:v>
      </x:c>
      <x:c r="J39" s="7" t="str">
        <x:v>Ajuste de equipamento</x:v>
      </x:c>
      <x:c r="K39" s="7" t="n">
        <x:v>18</x:v>
      </x:c>
      <x:c r="L39" s="2"/>
      <x:c r="M39" s="2"/>
      <x:c r="N39" s="2"/>
      <x:c r="O39" s="2"/>
      <x:c r="P39" s="2"/>
      <x:c r="Q39" s="2"/>
    </x:row>
    <x:row r="40" ht="23" customHeight="1">
      <x:c r="A40" s="2"/>
      <x:c r="B40" s="2"/>
      <x:c r="C40" s="2"/>
      <x:c r="D40" s="2"/>
      <x:c r="E40" s="2"/>
      <x:c r="F40" s="2"/>
      <x:c r="G40" s="2"/>
      <x:c r="H40" s="2"/>
      <x:c r="I40" s="10" t="d">
        <x:v>2026-10-16T12:00:00.000Z</x:v>
      </x:c>
      <x:c r="J40" s="7" t="str">
        <x:v>Espera de material</x:v>
      </x:c>
      <x:c r="K40" s="7" t="n">
        <x:v>11</x:v>
      </x:c>
      <x:c r="L40" s="2"/>
      <x:c r="M40" s="2"/>
      <x:c r="N40" s="2"/>
      <x:c r="O40" s="2"/>
      <x:c r="P40" s="2"/>
      <x:c r="Q40" s="2"/>
    </x:row>
    <x:row r="41" ht="23" customHeight="1">
      <x:c r="A41" s="2"/>
      <x:c r="B41" s="2"/>
      <x:c r="C41" s="2"/>
      <x:c r="D41" s="2"/>
      <x:c r="E41" s="2"/>
      <x:c r="F41" s="2"/>
      <x:c r="G41" s="2"/>
      <x:c r="H41" s="2"/>
      <x:c r="I41" s="10" t="d">
        <x:v>2026-10-16T12:00:00.000Z</x:v>
      </x:c>
      <x:c r="J41" s="7" t="str">
        <x:v>Troca de ferramenta</x:v>
      </x:c>
      <x:c r="K41" s="7" t="n">
        <x:v>6</x:v>
      </x:c>
      <x:c r="L41" s="2"/>
      <x:c r="M41" s="2"/>
      <x:c r="N41" s="2"/>
      <x:c r="O41" s="2"/>
      <x:c r="P41" s="2"/>
      <x:c r="Q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10" t="d">
        <x:v>2026-10-19T12:00:00.000Z</x:v>
      </x:c>
      <x:c r="J42" s="7" t="str">
        <x:v>Ajuste de equipamento</x:v>
      </x:c>
      <x:c r="K42" s="7" t="n">
        <x:v>25</x:v>
      </x:c>
      <x:c r="L42" s="2"/>
      <x:c r="M42" s="2"/>
      <x:c r="N42" s="2"/>
      <x:c r="O42" s="2"/>
      <x:c r="P42" s="2"/>
      <x:c r="Q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10" t="d">
        <x:v>2026-10-19T12:00:00.000Z</x:v>
      </x:c>
      <x:c r="J43" s="7" t="str">
        <x:v>Espera de material</x:v>
      </x:c>
      <x:c r="K43" s="7" t="n">
        <x:v>15</x:v>
      </x:c>
      <x:c r="L43" s="2"/>
      <x:c r="M43" s="2"/>
      <x:c r="N43" s="2"/>
      <x:c r="O43" s="2"/>
      <x:c r="P43" s="2"/>
      <x:c r="Q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10" t="d">
        <x:v>2026-10-19T12:00:00.000Z</x:v>
      </x:c>
      <x:c r="J44" s="7" t="str">
        <x:v>Troca de ferramenta</x:v>
      </x:c>
      <x:c r="K44" s="7" t="n">
        <x:v>10</x:v>
      </x:c>
      <x:c r="L44" s="2"/>
      <x:c r="M44" s="2"/>
      <x:c r="N44" s="2"/>
      <x:c r="O44" s="2"/>
      <x:c r="P44" s="2"/>
      <x:c r="Q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10" t="d">
        <x:v>2026-10-20T12:00:00.000Z</x:v>
      </x:c>
      <x:c r="J45" s="7" t="str">
        <x:v>Ajuste de equipamento</x:v>
      </x:c>
      <x:c r="K45" s="7" t="n">
        <x:v>15</x:v>
      </x:c>
      <x:c r="L45" s="2"/>
      <x:c r="M45" s="2"/>
      <x:c r="N45" s="2"/>
      <x:c r="O45" s="2"/>
      <x:c r="P45" s="2"/>
      <x:c r="Q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10" t="d">
        <x:v>2026-10-20T12:00:00.000Z</x:v>
      </x:c>
      <x:c r="J46" s="7" t="str">
        <x:v>Espera de material</x:v>
      </x:c>
      <x:c r="K46" s="7" t="n">
        <x:v>9</x:v>
      </x:c>
      <x:c r="L46" s="2"/>
      <x:c r="M46" s="2"/>
      <x:c r="N46" s="2"/>
      <x:c r="O46" s="2"/>
      <x:c r="P46" s="2"/>
      <x:c r="Q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10" t="d">
        <x:v>2026-10-20T12:00:00.000Z</x:v>
      </x:c>
      <x:c r="J47" s="7" t="str">
        <x:v>Troca de ferramenta</x:v>
      </x:c>
      <x:c r="K47" s="7" t="n">
        <x:v>6</x:v>
      </x:c>
      <x:c r="L47" s="2"/>
      <x:c r="M47" s="2"/>
      <x:c r="N47" s="2"/>
      <x:c r="O47" s="2"/>
      <x:c r="P47" s="2"/>
      <x:c r="Q47" s="2"/>
    </x:row>
    <x:row r="48" ht="23" customHeight="1">
      <x:c r="A48" s="2"/>
      <x:c r="B48" s="2"/>
      <x:c r="C48" s="2"/>
      <x:c r="D48" s="2"/>
      <x:c r="E48" s="2"/>
      <x:c r="F48" s="2"/>
      <x:c r="G48" s="2"/>
      <x:c r="H48" s="2"/>
      <x:c r="I48" s="10" t="d">
        <x:v>2026-10-21T12:00:00.000Z</x:v>
      </x:c>
      <x:c r="J48" s="7" t="str">
        <x:v>Ajuste de equipamento</x:v>
      </x:c>
      <x:c r="K48" s="7" t="n">
        <x:v>20</x:v>
      </x:c>
      <x:c r="L48" s="2"/>
      <x:c r="M48" s="2"/>
      <x:c r="N48" s="2"/>
      <x:c r="O48" s="2"/>
      <x:c r="P48" s="2"/>
      <x:c r="Q48" s="2"/>
    </x:row>
    <x:row r="49" ht="23" customHeight="1">
      <x:c r="A49" s="2"/>
      <x:c r="B49" s="2"/>
      <x:c r="C49" s="2"/>
      <x:c r="D49" s="2"/>
      <x:c r="E49" s="2"/>
      <x:c r="F49" s="2"/>
      <x:c r="G49" s="2"/>
      <x:c r="H49" s="2"/>
      <x:c r="I49" s="10" t="d">
        <x:v>2026-10-21T12:00:00.000Z</x:v>
      </x:c>
      <x:c r="J49" s="7" t="str">
        <x:v>Espera de material</x:v>
      </x:c>
      <x:c r="K49" s="7" t="n">
        <x:v>12</x:v>
      </x:c>
      <x:c r="L49" s="2"/>
      <x:c r="M49" s="2"/>
      <x:c r="N49" s="2"/>
      <x:c r="O49" s="2"/>
      <x:c r="P49" s="2"/>
      <x:c r="Q49" s="2"/>
    </x:row>
    <x:row r="50" ht="23" customHeight="1">
      <x:c r="A50" s="2"/>
      <x:c r="B50" s="2"/>
      <x:c r="C50" s="2"/>
      <x:c r="D50" s="2"/>
      <x:c r="E50" s="2"/>
      <x:c r="F50" s="2"/>
      <x:c r="G50" s="2"/>
      <x:c r="H50" s="2"/>
      <x:c r="I50" s="10" t="d">
        <x:v>2026-10-21T12:00:00.000Z</x:v>
      </x:c>
      <x:c r="J50" s="7" t="str">
        <x:v>Troca de ferramenta</x:v>
      </x:c>
      <x:c r="K50" s="7" t="n">
        <x:v>8</x:v>
      </x:c>
      <x:c r="L50" s="2"/>
      <x:c r="M50" s="2"/>
      <x:c r="N50" s="2"/>
      <x:c r="O50" s="2"/>
      <x:c r="P50" s="2"/>
      <x:c r="Q50" s="2"/>
    </x:row>
    <x:row r="51" ht="23" customHeight="1">
      <x:c r="A51" s="2"/>
      <x:c r="B51" s="2"/>
      <x:c r="C51" s="2"/>
      <x:c r="D51" s="2"/>
      <x:c r="E51" s="2"/>
      <x:c r="F51" s="2"/>
      <x:c r="G51" s="2"/>
      <x:c r="H51" s="2"/>
      <x:c r="I51" s="10" t="d">
        <x:v>2026-10-22T12:00:00.000Z</x:v>
      </x:c>
      <x:c r="J51" s="7" t="str">
        <x:v>Ajuste de equipamento</x:v>
      </x:c>
      <x:c r="K51" s="7" t="n">
        <x:v>10</x:v>
      </x:c>
      <x:c r="L51" s="2"/>
      <x:c r="M51" s="2"/>
      <x:c r="N51" s="2"/>
      <x:c r="O51" s="2"/>
      <x:c r="P51" s="2"/>
      <x:c r="Q51" s="2"/>
    </x:row>
    <x:row r="52" ht="23" customHeight="1">
      <x:c r="A52" s="2"/>
      <x:c r="B52" s="2"/>
      <x:c r="C52" s="2"/>
      <x:c r="D52" s="2"/>
      <x:c r="E52" s="2"/>
      <x:c r="F52" s="2"/>
      <x:c r="G52" s="2"/>
      <x:c r="H52" s="2"/>
      <x:c r="I52" s="10" t="d">
        <x:v>2026-10-22T12:00:00.000Z</x:v>
      </x:c>
      <x:c r="J52" s="7" t="str">
        <x:v>Espera de material</x:v>
      </x:c>
      <x:c r="K52" s="7" t="n">
        <x:v>6</x:v>
      </x:c>
      <x:c r="L52" s="2"/>
      <x:c r="M52" s="2"/>
      <x:c r="N52" s="2"/>
      <x:c r="O52" s="2"/>
      <x:c r="P52" s="2"/>
      <x:c r="Q52" s="2"/>
    </x:row>
    <x:row r="53" ht="23" customHeight="1">
      <x:c r="A53" s="2"/>
      <x:c r="B53" s="2"/>
      <x:c r="C53" s="2"/>
      <x:c r="D53" s="2"/>
      <x:c r="E53" s="2"/>
      <x:c r="F53" s="2"/>
      <x:c r="G53" s="2"/>
      <x:c r="H53" s="2"/>
      <x:c r="I53" s="10" t="d">
        <x:v>2026-10-22T12:00:00.000Z</x:v>
      </x:c>
      <x:c r="J53" s="7" t="str">
        <x:v>Troca de ferramenta</x:v>
      </x:c>
      <x:c r="K53" s="7" t="n">
        <x:v>4</x:v>
      </x:c>
      <x:c r="L53" s="2"/>
      <x:c r="M53" s="2"/>
      <x:c r="N53" s="2"/>
      <x:c r="O53" s="2"/>
      <x:c r="P53" s="2"/>
      <x:c r="Q53" s="2"/>
    </x:row>
    <x:row r="54" ht="23" customHeight="1">
      <x:c r="A54" s="2"/>
      <x:c r="B54" s="2"/>
      <x:c r="C54" s="2"/>
      <x:c r="D54" s="2"/>
      <x:c r="E54" s="2"/>
      <x:c r="F54" s="2"/>
      <x:c r="G54" s="2"/>
      <x:c r="H54" s="2"/>
      <x:c r="I54" s="10" t="d">
        <x:v>2026-10-23T12:00:00.000Z</x:v>
      </x:c>
      <x:c r="J54" s="7" t="str">
        <x:v>Ajuste de equipamento</x:v>
      </x:c>
      <x:c r="K54" s="7" t="n">
        <x:v>25</x:v>
      </x:c>
      <x:c r="L54" s="2"/>
      <x:c r="M54" s="2"/>
      <x:c r="N54" s="2"/>
      <x:c r="O54" s="2"/>
      <x:c r="P54" s="2"/>
      <x:c r="Q54" s="2"/>
    </x:row>
    <x:row r="55" ht="23" customHeight="1">
      <x:c r="A55" s="2"/>
      <x:c r="B55" s="2"/>
      <x:c r="C55" s="2"/>
      <x:c r="D55" s="2"/>
      <x:c r="E55" s="2"/>
      <x:c r="F55" s="2"/>
      <x:c r="G55" s="2"/>
      <x:c r="H55" s="2"/>
      <x:c r="I55" s="10" t="d">
        <x:v>2026-10-23T12:00:00.000Z</x:v>
      </x:c>
      <x:c r="J55" s="7" t="str">
        <x:v>Espera de material</x:v>
      </x:c>
      <x:c r="K55" s="7" t="n">
        <x:v>15</x:v>
      </x:c>
      <x:c r="L55" s="2"/>
      <x:c r="M55" s="2"/>
      <x:c r="N55" s="2"/>
      <x:c r="O55" s="2"/>
      <x:c r="P55" s="2"/>
      <x:c r="Q55" s="2"/>
    </x:row>
    <x:row r="56" ht="23" customHeight="1">
      <x:c r="A56" s="2"/>
      <x:c r="B56" s="2"/>
      <x:c r="C56" s="2"/>
      <x:c r="D56" s="2"/>
      <x:c r="E56" s="2"/>
      <x:c r="F56" s="2"/>
      <x:c r="G56" s="2"/>
      <x:c r="H56" s="2"/>
      <x:c r="I56" s="10" t="d">
        <x:v>2026-10-23T12:00:00.000Z</x:v>
      </x:c>
      <x:c r="J56" s="7" t="str">
        <x:v>Troca de ferramenta</x:v>
      </x:c>
      <x:c r="K56" s="7" t="n">
        <x:v>10</x:v>
      </x:c>
      <x:c r="L56" s="2"/>
      <x:c r="M56" s="2"/>
      <x:c r="N56" s="2"/>
      <x:c r="O56" s="2"/>
      <x:c r="P56" s="2"/>
      <x:c r="Q56" s="2"/>
    </x:row>
    <x:row r="57" ht="23" customHeight="1">
      <x:c r="A57" s="2"/>
      <x:c r="B57" s="2"/>
      <x:c r="C57" s="2"/>
      <x:c r="D57" s="2"/>
      <x:c r="E57" s="2"/>
      <x:c r="F57" s="2"/>
      <x:c r="G57" s="2"/>
      <x:c r="H57" s="2"/>
      <x:c r="I57" s="10" t="d">
        <x:v>2026-10-26T12:00:00.000Z</x:v>
      </x:c>
      <x:c r="J57" s="7" t="str">
        <x:v>Ajuste de equipamento</x:v>
      </x:c>
      <x:c r="K57" s="7" t="n">
        <x:v>15</x:v>
      </x:c>
      <x:c r="L57" s="2"/>
      <x:c r="M57" s="2"/>
      <x:c r="N57" s="2"/>
      <x:c r="O57" s="2"/>
      <x:c r="P57" s="2"/>
      <x:c r="Q57" s="2"/>
    </x:row>
    <x:row r="58" ht="23" customHeight="1">
      <x:c r="A58" s="2"/>
      <x:c r="B58" s="2"/>
      <x:c r="C58" s="2"/>
      <x:c r="D58" s="2"/>
      <x:c r="E58" s="2"/>
      <x:c r="F58" s="2"/>
      <x:c r="G58" s="2"/>
      <x:c r="H58" s="2"/>
      <x:c r="I58" s="10" t="d">
        <x:v>2026-10-26T12:00:00.000Z</x:v>
      </x:c>
      <x:c r="J58" s="7" t="str">
        <x:v>Espera de material</x:v>
      </x:c>
      <x:c r="K58" s="7" t="n">
        <x:v>9</x:v>
      </x:c>
      <x:c r="L58" s="2"/>
      <x:c r="M58" s="2"/>
      <x:c r="N58" s="2"/>
      <x:c r="O58" s="2"/>
      <x:c r="P58" s="2"/>
      <x:c r="Q58" s="2"/>
    </x:row>
    <x:row r="59" ht="23" customHeight="1">
      <x:c r="A59" s="2"/>
      <x:c r="B59" s="2"/>
      <x:c r="C59" s="2"/>
      <x:c r="D59" s="2"/>
      <x:c r="E59" s="2"/>
      <x:c r="F59" s="2"/>
      <x:c r="G59" s="2"/>
      <x:c r="H59" s="2"/>
      <x:c r="I59" s="10" t="d">
        <x:v>2026-10-26T12:00:00.000Z</x:v>
      </x:c>
      <x:c r="J59" s="7" t="str">
        <x:v>Troca de ferramenta</x:v>
      </x:c>
      <x:c r="K59" s="7" t="n">
        <x:v>6</x:v>
      </x:c>
      <x:c r="L59" s="2"/>
      <x:c r="M59" s="2"/>
      <x:c r="N59" s="2"/>
      <x:c r="O59" s="2"/>
      <x:c r="P59" s="2"/>
      <x:c r="Q59" s="2"/>
    </x:row>
    <x:row r="60" ht="23" customHeight="1">
      <x:c r="A60" s="2"/>
      <x:c r="B60" s="2"/>
      <x:c r="C60" s="2"/>
      <x:c r="D60" s="2"/>
      <x:c r="E60" s="2"/>
      <x:c r="F60" s="2"/>
      <x:c r="G60" s="2"/>
      <x:c r="H60" s="2"/>
      <x:c r="I60" s="10" t="d">
        <x:v>2026-10-27T12:00:00.000Z</x:v>
      </x:c>
      <x:c r="J60" s="7" t="str">
        <x:v>Ajuste de equipamento</x:v>
      </x:c>
      <x:c r="K60" s="7" t="n">
        <x:v>13</x:v>
      </x:c>
      <x:c r="L60" s="2"/>
      <x:c r="M60" s="2"/>
      <x:c r="N60" s="2"/>
      <x:c r="O60" s="2"/>
      <x:c r="P60" s="2"/>
      <x:c r="Q60" s="2"/>
    </x:row>
    <x:row r="61" ht="23" customHeight="1">
      <x:c r="A61" s="2"/>
      <x:c r="B61" s="2"/>
      <x:c r="C61" s="2"/>
      <x:c r="D61" s="2"/>
      <x:c r="E61" s="2"/>
      <x:c r="F61" s="2"/>
      <x:c r="G61" s="2"/>
      <x:c r="H61" s="2"/>
      <x:c r="I61" s="10" t="d">
        <x:v>2026-10-27T12:00:00.000Z</x:v>
      </x:c>
      <x:c r="J61" s="7" t="str">
        <x:v>Espera de material</x:v>
      </x:c>
      <x:c r="K61" s="7" t="n">
        <x:v>8</x:v>
      </x:c>
      <x:c r="L61" s="2"/>
      <x:c r="M61" s="2"/>
      <x:c r="N61" s="2"/>
      <x:c r="O61" s="2"/>
      <x:c r="P61" s="2"/>
      <x:c r="Q61" s="2"/>
    </x:row>
    <x:row r="62" ht="23" customHeight="1">
      <x:c r="A62" s="2"/>
      <x:c r="B62" s="2"/>
      <x:c r="C62" s="2"/>
      <x:c r="D62" s="2"/>
      <x:c r="E62" s="2"/>
      <x:c r="F62" s="2"/>
      <x:c r="G62" s="2"/>
      <x:c r="H62" s="2"/>
      <x:c r="I62" s="10" t="d">
        <x:v>2026-10-27T12:00:00.000Z</x:v>
      </x:c>
      <x:c r="J62" s="7" t="str">
        <x:v>Troca de ferramenta</x:v>
      </x:c>
      <x:c r="K62" s="7" t="n">
        <x:v>4</x:v>
      </x:c>
      <x:c r="L62" s="2"/>
      <x:c r="M62" s="2"/>
      <x:c r="N62" s="2"/>
      <x:c r="O62" s="2"/>
      <x:c r="P62" s="2"/>
      <x:c r="Q62" s="2"/>
    </x:row>
    <x:row r="63" ht="23" customHeight="1">
      <x:c r="A63" s="2"/>
      <x:c r="B63" s="2"/>
      <x:c r="C63" s="2"/>
      <x:c r="D63" s="2"/>
      <x:c r="E63" s="2"/>
      <x:c r="F63" s="2"/>
      <x:c r="G63" s="2"/>
      <x:c r="H63" s="2"/>
      <x:c r="I63" s="10" t="d">
        <x:v>2026-10-28T12:00:00.000Z</x:v>
      </x:c>
      <x:c r="J63" s="7" t="str">
        <x:v>Ajuste de equipamento</x:v>
      </x:c>
      <x:c r="K63" s="7" t="n">
        <x:v>18</x:v>
      </x:c>
      <x:c r="L63" s="2"/>
      <x:c r="M63" s="2"/>
      <x:c r="N63" s="2"/>
      <x:c r="O63" s="2"/>
      <x:c r="P63" s="2"/>
      <x:c r="Q63" s="2"/>
    </x:row>
    <x:row r="64" ht="23" customHeight="1">
      <x:c r="A64" s="2"/>
      <x:c r="B64" s="2"/>
      <x:c r="C64" s="2"/>
      <x:c r="D64" s="2"/>
      <x:c r="E64" s="2"/>
      <x:c r="F64" s="2"/>
      <x:c r="G64" s="2"/>
      <x:c r="H64" s="2"/>
      <x:c r="I64" s="10" t="d">
        <x:v>2026-10-28T12:00:00.000Z</x:v>
      </x:c>
      <x:c r="J64" s="7" t="str">
        <x:v>Espera de material</x:v>
      </x:c>
      <x:c r="K64" s="7" t="n">
        <x:v>11</x:v>
      </x:c>
      <x:c r="L64" s="2"/>
      <x:c r="M64" s="2"/>
      <x:c r="N64" s="2"/>
      <x:c r="O64" s="2"/>
      <x:c r="P64" s="2"/>
      <x:c r="Q64" s="2"/>
    </x:row>
    <x:row r="65" ht="23" customHeight="1">
      <x:c r="A65" s="2"/>
      <x:c r="B65" s="2"/>
      <x:c r="C65" s="2"/>
      <x:c r="D65" s="2"/>
      <x:c r="E65" s="2"/>
      <x:c r="F65" s="2"/>
      <x:c r="G65" s="2"/>
      <x:c r="H65" s="2"/>
      <x:c r="I65" s="10" t="d">
        <x:v>2026-10-28T12:00:00.000Z</x:v>
      </x:c>
      <x:c r="J65" s="7" t="str">
        <x:v>Troca de ferramenta</x:v>
      </x:c>
      <x:c r="K65" s="7" t="n">
        <x:v>6</x:v>
      </x:c>
      <x:c r="L65" s="2"/>
      <x:c r="M65" s="2"/>
      <x:c r="N65" s="2"/>
      <x:c r="O65" s="2"/>
      <x:c r="P65" s="2"/>
      <x:c r="Q65" s="2"/>
    </x:row>
    <x:row r="66" ht="23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3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3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3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3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</x:sheetData>
  <x:dataValidations count="1">
    <x:dataValidation type="list" sqref="B8">
      <x:formula1>"5"</x:formula1>
    </x:dataValidation>
  </x:dataValidations>
  <x:pageMargins left="0.7" right="0.7" top="0.75" bottom="0.75" header="0.3" footer="0.3"/>
  <x:tableParts count="2">
    <x:tablePart xmlns:r="http://schemas.openxmlformats.org/officeDocument/2006/relationships" r:id="Rcc0f8f4150cd42ca"/>
    <x:tablePart xmlns:r="http://schemas.openxmlformats.org/officeDocument/2006/relationships" r:id="R0f48c5fbcade430f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16" hidden="0" customWidth="1"/>
  </x:cols>
  <x:sheetData>
    <x:row r="1" ht="23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30" customHeight="1">
      <x:c r="A2" s="3" t="str">
        <x:v>Capacidade nominal e cenário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3" customHeight="1">
      <x:c r="A3" s="2" t="str">
        <x:v>Cenário hipotético de redistribuição; não representa ganho realizado.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</x:row>
    <x:row r="4" ht="23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32" customHeight="1">
      <x:c r="A5" s="6" t="str">
        <x:v>Parâmetro</x:v>
      </x:c>
      <x:c r="B5" s="6" t="str">
        <x:v>Valor</x:v>
      </x:c>
      <x:c r="C5" s="2"/>
      <x:c r="D5" s="6" t="str">
        <x:v>Posto</x:v>
      </x:c>
      <x:c r="E5" s="6" t="str">
        <x:v>Base (s)</x:v>
      </x:c>
      <x:c r="F5" s="6" t="str">
        <x:v>Cenário (s)</x:v>
      </x:c>
      <x:c r="G5" s="6" t="str">
        <x:v>Cap. base (un)</x:v>
      </x:c>
      <x:c r="H5" s="6" t="str">
        <x:v>Cap. cenário (un)</x:v>
      </x:c>
      <x:c r="I5" s="2"/>
      <x:c r="J5" s="2"/>
      <x:c r="K5" s="2"/>
      <x:c r="L5" s="2"/>
      <x:c r="M5" s="2"/>
      <x:c r="N5" s="2"/>
      <x:c r="O5" s="2"/>
      <x:c r="P5" s="2"/>
    </x:row>
    <x:row r="6" ht="23" customHeight="1">
      <x:c r="A6" s="2" t="str">
        <x:v>Disponível (min/turno)</x:v>
      </x:c>
      <x:c r="B6" s="2" t="n">
        <x:f>IF(OR(COUNT(Dados!B6:B7)&lt;&gt;2,Dados!B6&lt;Dados!B7,Dados!B7&lt;0),"não disponível",Dados!B6-Dados!B7)</x:f>
        <x:v>420</x:v>
      </x:c>
      <x:c r="C6" s="2"/>
      <x:c r="D6" s="2" t="str">
        <x:f>Dados!E6</x:f>
        <x:v>Posto 1</x:v>
      </x:c>
      <x:c r="E6" s="2" t="n">
        <x:f>IF(ISNUMBER(Dados!F6),Dados!F6,"não disponível")</x:f>
        <x:v>45</x:v>
      </x:c>
      <x:c r="F6" s="2" t="n">
        <x:f>IF(ISNUMBER(Dados!G6),Dados!G6,"não disponível")</x:f>
        <x:v>55</x:v>
      </x:c>
      <x:c r="G6" s="15" t="n">
        <x:f>IF(AND(ISNUMBER($B$6),ISNUMBER(E6),E6&gt;0),$B$6*60/E6,"não disponível")</x:f>
        <x:v>560</x:v>
      </x:c>
      <x:c r="H6" s="15" t="n">
        <x:f>IF(AND(ISNUMBER($B$6),ISNUMBER(F6),F6&gt;0),$B$6*60/F6,"não disponível")</x:f>
        <x:v>458.1818181818182</x:v>
      </x:c>
      <x:c r="I6" s="2"/>
      <x:c r="J6" s="2"/>
      <x:c r="K6" s="2"/>
      <x:c r="L6" s="2"/>
      <x:c r="M6" s="2"/>
      <x:c r="N6" s="2"/>
      <x:c r="O6" s="2"/>
      <x:c r="P6" s="2"/>
    </x:row>
    <x:row r="7" ht="23" customHeight="1">
      <x:c r="A7" s="2" t="str">
        <x:v>Trabalho base (s/un)</x:v>
      </x:c>
      <x:c r="B7" s="2" t="n">
        <x:f>IF(COUNT(Dados!F6:F10)&lt;&gt;5,"não disponível",SUM(Dados!F6:F10))</x:f>
        <x:v>285</x:v>
      </x:c>
      <x:c r="C7" s="2"/>
      <x:c r="D7" s="2" t="str">
        <x:f>Dados!E7</x:f>
        <x:v>Posto 2</x:v>
      </x:c>
      <x:c r="E7" s="2" t="n">
        <x:f>IF(ISNUMBER(Dados!F7),Dados!F7,"não disponível")</x:f>
        <x:v>60</x:v>
      </x:c>
      <x:c r="F7" s="2" t="n">
        <x:f>IF(ISNUMBER(Dados!G7),Dados!G7,"não disponível")</x:f>
        <x:v>60</x:v>
      </x:c>
      <x:c r="G7" s="15" t="n">
        <x:f>IF(AND(ISNUMBER($B$6),ISNUMBER(E7),E7&gt;0),$B$6*60/E7,"não disponível")</x:f>
        <x:v>420</x:v>
      </x:c>
      <x:c r="H7" s="15" t="n">
        <x:f>IF(AND(ISNUMBER($B$6),ISNUMBER(F7),F7&gt;0),$B$6*60/F7,"não disponível")</x:f>
        <x:v>420</x:v>
      </x:c>
      <x:c r="I7" s="2"/>
      <x:c r="J7" s="2"/>
      <x:c r="K7" s="2"/>
      <x:c r="L7" s="2"/>
      <x:c r="M7" s="2"/>
      <x:c r="N7" s="2"/>
      <x:c r="O7" s="2"/>
      <x:c r="P7" s="2"/>
    </x:row>
    <x:row r="8" ht="23" customHeight="1">
      <x:c r="A8" s="2" t="str">
        <x:v>Trabalho cenário (s/un)</x:v>
      </x:c>
      <x:c r="B8" s="2" t="n">
        <x:f>IF(COUNT(Dados!G6:G10)&lt;&gt;5,"não disponível",SUM(Dados!G6:G10))</x:f>
        <x:v>285</x:v>
      </x:c>
      <x:c r="C8" s="2"/>
      <x:c r="D8" s="2" t="str">
        <x:f>Dados!E8</x:f>
        <x:v>Posto 3</x:v>
      </x:c>
      <x:c r="E8" s="2" t="n">
        <x:f>IF(ISNUMBER(Dados!F8),Dados!F8,"não disponível")</x:f>
        <x:v>75</x:v>
      </x:c>
      <x:c r="F8" s="2" t="n">
        <x:f>IF(ISNUMBER(Dados!G8),Dados!G8,"não disponível")</x:f>
        <x:v>60</x:v>
      </x:c>
      <x:c r="G8" s="15" t="n">
        <x:f>IF(AND(ISNUMBER($B$6),ISNUMBER(E8),E8&gt;0),$B$6*60/E8,"não disponível")</x:f>
        <x:v>336</x:v>
      </x:c>
      <x:c r="H8" s="15" t="n">
        <x:f>IF(AND(ISNUMBER($B$6),ISNUMBER(F8),F8&gt;0),$B$6*60/F8,"não disponível")</x:f>
        <x:v>420</x:v>
      </x:c>
      <x:c r="I8" s="2"/>
      <x:c r="J8" s="2"/>
      <x:c r="K8" s="2"/>
      <x:c r="L8" s="2"/>
      <x:c r="M8" s="2"/>
      <x:c r="N8" s="2"/>
      <x:c r="O8" s="2"/>
      <x:c r="P8" s="2"/>
    </x:row>
    <x:row r="9" ht="23" customHeight="1">
      <x:c r="A9" s="2"/>
      <x:c r="B9" s="2"/>
      <x:c r="C9" s="2"/>
      <x:c r="D9" s="2" t="str">
        <x:f>Dados!E9</x:f>
        <x:v>Posto 4</x:v>
      </x:c>
      <x:c r="E9" s="2" t="n">
        <x:f>IF(ISNUMBER(Dados!F9),Dados!F9,"não disponível")</x:f>
        <x:v>55</x:v>
      </x:c>
      <x:c r="F9" s="2" t="n">
        <x:f>IF(ISNUMBER(Dados!G9),Dados!G9,"não disponível")</x:f>
        <x:v>55</x:v>
      </x:c>
      <x:c r="G9" s="15" t="n">
        <x:f>IF(AND(ISNUMBER($B$6),ISNUMBER(E9),E9&gt;0),$B$6*60/E9,"não disponível")</x:f>
        <x:v>458.1818181818182</x:v>
      </x:c>
      <x:c r="H9" s="15" t="n">
        <x:f>IF(AND(ISNUMBER($B$6),ISNUMBER(F9),F9&gt;0),$B$6*60/F9,"não disponível")</x:f>
        <x:v>458.1818181818182</x:v>
      </x:c>
      <x:c r="I9" s="2"/>
      <x:c r="J9" s="2"/>
      <x:c r="K9" s="2"/>
      <x:c r="L9" s="2"/>
      <x:c r="M9" s="2"/>
      <x:c r="N9" s="2"/>
      <x:c r="O9" s="2"/>
      <x:c r="P9" s="2"/>
    </x:row>
    <x:row r="10" ht="23" customHeight="1">
      <x:c r="A10" s="2"/>
      <x:c r="B10" s="2"/>
      <x:c r="C10" s="2"/>
      <x:c r="D10" s="2" t="str">
        <x:f>Dados!E10</x:f>
        <x:v>Posto 5</x:v>
      </x:c>
      <x:c r="E10" s="2" t="n">
        <x:f>IF(ISNUMBER(Dados!F10),Dados!F10,"não disponível")</x:f>
        <x:v>50</x:v>
      </x:c>
      <x:c r="F10" s="2" t="n">
        <x:f>IF(ISNUMBER(Dados!G10),Dados!G10,"não disponível")</x:f>
        <x:v>55</x:v>
      </x:c>
      <x:c r="G10" s="15" t="n">
        <x:f>IF(AND(ISNUMBER($B$6),ISNUMBER(E10),E10&gt;0),$B$6*60/E10,"não disponível")</x:f>
        <x:v>504</x:v>
      </x:c>
      <x:c r="H10" s="15" t="n">
        <x:f>IF(AND(ISNUMBER($B$6),ISNUMBER(F10),F10&gt;0),$B$6*60/F10,"não disponível")</x:f>
        <x:v>458.1818181818182</x:v>
      </x:c>
      <x:c r="I10" s="2"/>
      <x:c r="J10" s="2"/>
      <x:c r="K10" s="2"/>
      <x:c r="L10" s="2"/>
      <x:c r="M10" s="2"/>
      <x:c r="N10" s="2"/>
      <x:c r="O10" s="2"/>
      <x:c r="P10" s="2"/>
    </x:row>
    <x:row r="11" ht="32" customHeight="1">
      <x:c r="A11" s="6" t="str">
        <x:v>Indicador</x:v>
      </x:c>
      <x:c r="B11" s="6" t="str">
        <x:v>Base</x:v>
      </x:c>
      <x:c r="C11" s="6" t="str">
        <x:v>Cenário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</x:row>
    <x:row r="12" ht="23" customHeight="1">
      <x:c r="A12" s="2" t="str">
        <x:v>Capacidade linha (un/turno)</x:v>
      </x:c>
      <x:c r="B12" s="15" t="n">
        <x:f>IF(COUNT(G6:G10)&lt;&gt;5,"não disponível",MIN(G6:G10))</x:f>
        <x:v>336</x:v>
      </x:c>
      <x:c r="C12" s="15" t="n">
        <x:f>IF(COUNT(H6:H10)&lt;&gt;5,"não disponível",MIN(H6:H10))</x:f>
        <x:v>420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</x:row>
    <x:row r="13" ht="23" customHeight="1">
      <x:c r="A13" s="2" t="str">
        <x:v>Maior ciclo (s)</x:v>
      </x:c>
      <x:c r="B13" s="2" t="n">
        <x:f>IF(COUNT(E6:E10)&lt;&gt;5,"não disponível",MAX(E6:E10))</x:f>
        <x:v>75</x:v>
      </x:c>
      <x:c r="C13" s="2" t="n">
        <x:f>IF(COUNT(F6:F10)&lt;&gt;5,"não disponível",MAX(F6:F10))</x:f>
        <x:v>60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</x:row>
    <x:row r="14" ht="23" customHeight="1">
      <x:c r="A14" s="2" t="str">
        <x:v>Eficiência balanceamento</x:v>
      </x:c>
      <x:c r="B14" s="12" t="n">
        <x:f>IF(AND(ISNUMBER(B7),ISNUMBER(B13),B13&gt;0),B7/(5*B13),"não disponível")</x:f>
        <x:v>0.76</x:v>
      </x:c>
      <x:c r="C14" s="12" t="n">
        <x:f>IF(AND(ISNUMBER(B8),ISNUMBER(C13),C13&gt;0),B8/(5*C13),"não disponível")</x:f>
        <x:v>0.95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</x:row>
    <x:row r="15" ht="23" customHeight="1">
      <x:c r="A15" s="2" t="str">
        <x:v>Trabalho preservado</x:v>
      </x:c>
      <x:c r="B15" s="2" t="n">
        <x:f>B7</x:f>
        <x:v>285</x:v>
      </x:c>
      <x:c r="C15" s="2" t="str">
        <x:f>IF(AND(ISNUMBER(B7),ISNUMBER(B8)),IF(B7=B8,"Sim","Não"),"não disponível")</x:f>
        <x:v>Sim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</x:row>
    <x:row r="16" ht="23" customHeight="1">
      <x:c r="A16" s="2" t="str">
        <x:v>Ganho nominal vs. base</x:v>
      </x:c>
      <x:c r="B16" s="2"/>
      <x:c r="C16" s="12" t="n">
        <x:f>IF(AND(ISNUMBER(B12),ISNUMBER(C12),B12&gt;0),C12/B12-1,"não disponível")</x:f>
        <x:v>0.25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</x:row>
    <x:row r="17" ht="23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</x:row>
    <x:row r="18" ht="23" customHeight="1">
      <x:c r="A18" s="2" t="str">
        <x:v>Transferir 10 s do posto 3 ao posto 1 e 5 s do posto 3 ao posto 5; exige tarefas divisíveis, treinamento, segurança, ergonomia e qualidade validados. Sem investimento ou ganho comprovado.</x:v>
      </x:c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</x:row>
    <x:row r="19" ht="23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</x:row>
    <x:row r="20" ht="32" customHeight="1">
      <x:c r="A20" s="6" t="str">
        <x:v>Data</x:v>
      </x:c>
      <x:c r="B20" s="6" t="str">
        <x:v>Boa (un)</x:v>
      </x:c>
      <x:c r="C20" s="6" t="str">
        <x:v>Meta (un)</x:v>
      </x:c>
      <x:c r="D20" s="6" t="str">
        <x:v>Parada (min)</x:v>
      </x:c>
      <x:c r="E20" s="6" t="str">
        <x:v>Disponível (min)</x:v>
      </x:c>
      <x:c r="F20" s="6" t="str">
        <x:v>Operacional (min)</x:v>
      </x:c>
      <x:c r="G20" s="6" t="str">
        <x:v>Atendimento</x:v>
      </x:c>
      <x:c r="H20" s="6" t="str">
        <x:v>Rejeição</x:v>
      </x:c>
      <x:c r="I20" s="6" t="str">
        <x:v>Parada (%)</x:v>
      </x:c>
      <x:c r="J20" s="6" t="str">
        <x:v>Total (un)</x:v>
      </x:c>
      <x:c r="K20" s="2"/>
      <x:c r="L20" s="2"/>
      <x:c r="M20" s="2"/>
      <x:c r="N20" s="2"/>
      <x:c r="O20" s="2"/>
      <x:c r="P20" s="2"/>
    </x:row>
    <x:row r="21" ht="23" customHeight="1">
      <x:c r="A21" s="8" t="n">
        <x:f>Dados!A15</x:f>
        <x:v>46296.5</x:v>
      </x:c>
      <x:c r="B21" s="2" t="n">
        <x:f>IF(OR(COUNT(Dados!B15:C15)&lt;&gt;2,Dados!C15&gt;Dados!B15,MIN(Dados!B15:C15)&lt;0),"não disponível",Dados!B15-Dados!C15)</x:f>
        <x:v>290</x:v>
      </x:c>
      <x:c r="C21" s="2" t="n">
        <x:f>IF(AND(ISNUMBER(Dados!D15),Dados!D15&gt;=0),Dados!D15,"não disponível")</x:f>
        <x:v>300</x:v>
      </x:c>
      <x:c r="D21" s="2" t="n">
        <x:f>IF(COUNT(Dados!K6:K65)&lt;&gt;60,"não disponível",SUMIFS(Dados!$K$6:$K$65,Dados!$I$6:$I$65,A21))</x:f>
        <x:v>45</x:v>
      </x:c>
      <x:c r="E21" s="2" t="n">
        <x:f>$B$6</x:f>
        <x:v>420</x:v>
      </x:c>
      <x:c r="F21" s="2" t="n">
        <x:f>IF(AND(ISNUMBER(D21),ISNUMBER(E21),D21&gt;=0,D21&lt;=E21),E21-D21,"não disponível")</x:f>
        <x:v>375</x:v>
      </x:c>
      <x:c r="G21" s="12" t="n">
        <x:f>IF(AND(ISNUMBER(B21),ISNUMBER(C21),C21&gt;0),B21/C21,"não disponível")</x:f>
        <x:v>0.9666666666666667</x:v>
      </x:c>
      <x:c r="H21" s="12" t="n">
        <x:f>IF(AND(ISNUMBER(B21),ISNUMBER(Dados!B15),Dados!B15&gt;0),Dados!C15/Dados!B15,"não disponível")</x:f>
        <x:v>0.02027027027027027</x:v>
      </x:c>
      <x:c r="I21" s="12" t="n">
        <x:f>IF(AND(ISNUMBER(F21),E21&gt;0),D21/E21,"não disponível")</x:f>
        <x:v>0.10714285714285714</x:v>
      </x:c>
      <x:c r="J21" s="2" t="n">
        <x:f>IF(ISNUMBER(B21),Dados!B15,"não disponível")</x:f>
        <x:v>296</x:v>
      </x:c>
      <x:c r="K21" s="2"/>
      <x:c r="L21" s="2"/>
      <x:c r="M21" s="2"/>
      <x:c r="N21" s="2"/>
      <x:c r="O21" s="2"/>
      <x:c r="P21" s="2"/>
    </x:row>
    <x:row r="22" ht="23" customHeight="1">
      <x:c r="A22" s="8" t="n">
        <x:f>Dados!A16</x:f>
        <x:v>46297.5</x:v>
      </x:c>
      <x:c r="B22" s="2" t="n">
        <x:f>IF(OR(COUNT(Dados!B16:C16)&lt;&gt;2,Dados!C16&gt;Dados!B16,MIN(Dados!B16:C16)&lt;0),"não disponível",Dados!B16-Dados!C16)</x:f>
        <x:v>297</x:v>
      </x:c>
      <x:c r="C22" s="2" t="n">
        <x:f>IF(AND(ISNUMBER(Dados!D16),Dados!D16&gt;=0),Dados!D16,"não disponível")</x:f>
        <x:v>300</x:v>
      </x:c>
      <x:c r="D22" s="2" t="n">
        <x:f>IF(COUNT(Dados!K6:K65)&lt;&gt;60,"não disponível",SUMIFS(Dados!$K$6:$K$65,Dados!$I$6:$I$65,A22))</x:f>
        <x:v>35</x:v>
      </x:c>
      <x:c r="E22" s="2" t="n">
        <x:f>$B$6</x:f>
        <x:v>420</x:v>
      </x:c>
      <x:c r="F22" s="2" t="n">
        <x:f>IF(AND(ISNUMBER(D22),ISNUMBER(E22),D22&gt;=0,D22&lt;=E22),E22-D22,"não disponível")</x:f>
        <x:v>385</x:v>
      </x:c>
      <x:c r="G22" s="12" t="n">
        <x:f>IF(AND(ISNUMBER(B22),ISNUMBER(C22),C22&gt;0),B22/C22,"não disponível")</x:f>
        <x:v>0.99</x:v>
      </x:c>
      <x:c r="H22" s="12" t="n">
        <x:f>IF(AND(ISNUMBER(B22),ISNUMBER(Dados!B16),Dados!B16&gt;0),Dados!C16/Dados!B16,"não disponível")</x:f>
        <x:v>0.016556291390728478</x:v>
      </x:c>
      <x:c r="I22" s="12" t="n">
        <x:f>IF(AND(ISNUMBER(F22),E22&gt;0),D22/E22,"não disponível")</x:f>
        <x:v>0.08333333333333333</x:v>
      </x:c>
      <x:c r="J22" s="2" t="n">
        <x:f>IF(ISNUMBER(B22),Dados!B16,"não disponível")</x:f>
        <x:v>302</x:v>
      </x:c>
      <x:c r="K22" s="2"/>
      <x:c r="L22" s="2"/>
      <x:c r="M22" s="2"/>
      <x:c r="N22" s="2"/>
      <x:c r="O22" s="2"/>
      <x:c r="P22" s="2"/>
    </x:row>
    <x:row r="23" ht="23" customHeight="1">
      <x:c r="A23" s="8" t="n">
        <x:f>Dados!A17</x:f>
        <x:v>46300.5</x:v>
      </x:c>
      <x:c r="B23" s="2" t="n">
        <x:f>IF(OR(COUNT(Dados!B17:C17)&lt;&gt;2,Dados!C17&gt;Dados!B17,MIN(Dados!B17:C17)&lt;0),"não disponível",Dados!B17-Dados!C17)</x:f>
        <x:v>280</x:v>
      </x:c>
      <x:c r="C23" s="2" t="n">
        <x:f>IF(AND(ISNUMBER(Dados!D17),Dados!D17&gt;=0),Dados!D17,"não disponível")</x:f>
        <x:v>300</x:v>
      </x:c>
      <x:c r="D23" s="2" t="n">
        <x:f>IF(COUNT(Dados!K6:K65)&lt;&gt;60,"não disponível",SUMIFS(Dados!$K$6:$K$65,Dados!$I$6:$I$65,A23))</x:f>
        <x:v>55</x:v>
      </x:c>
      <x:c r="E23" s="2" t="n">
        <x:f>$B$6</x:f>
        <x:v>420</x:v>
      </x:c>
      <x:c r="F23" s="2" t="n">
        <x:f>IF(AND(ISNUMBER(D23),ISNUMBER(E23),D23&gt;=0,D23&lt;=E23),E23-D23,"não disponível")</x:f>
        <x:v>365</x:v>
      </x:c>
      <x:c r="G23" s="12" t="n">
        <x:f>IF(AND(ISNUMBER(B23),ISNUMBER(C23),C23&gt;0),B23/C23,"não disponível")</x:f>
        <x:v>0.9333333333333333</x:v>
      </x:c>
      <x:c r="H23" s="12" t="n">
        <x:f>IF(AND(ISNUMBER(B23),ISNUMBER(Dados!B17),Dados!B17&gt;0),Dados!C17/Dados!B17,"não disponível")</x:f>
        <x:v>0.027777777777777776</x:v>
      </x:c>
      <x:c r="I23" s="12" t="n">
        <x:f>IF(AND(ISNUMBER(F23),E23&gt;0),D23/E23,"não disponível")</x:f>
        <x:v>0.13095238095238096</x:v>
      </x:c>
      <x:c r="J23" s="2" t="n">
        <x:f>IF(ISNUMBER(B23),Dados!B17,"não disponível")</x:f>
        <x:v>288</x:v>
      </x:c>
      <x:c r="K23" s="2"/>
      <x:c r="L23" s="2"/>
      <x:c r="M23" s="2"/>
      <x:c r="N23" s="2"/>
      <x:c r="O23" s="2"/>
      <x:c r="P23" s="2"/>
    </x:row>
    <x:row r="24" ht="23" customHeight="1">
      <x:c r="A24" s="8" t="n">
        <x:f>Dados!A18</x:f>
        <x:v>46301.5</x:v>
      </x:c>
      <x:c r="B24" s="2" t="n">
        <x:f>IF(OR(COUNT(Dados!B18:C18)&lt;&gt;2,Dados!C18&gt;Dados!B18,MIN(Dados!B18:C18)&lt;0),"não disponível",Dados!B18-Dados!C18)</x:f>
        <x:v>306</x:v>
      </x:c>
      <x:c r="C24" s="2" t="n">
        <x:f>IF(AND(ISNUMBER(Dados!D18),Dados!D18&gt;=0),Dados!D18,"não disponível")</x:f>
        <x:v>300</x:v>
      </x:c>
      <x:c r="D24" s="2" t="n">
        <x:f>IF(COUNT(Dados!K6:K65)&lt;&gt;60,"não disponível",SUMIFS(Dados!$K$6:$K$65,Dados!$I$6:$I$65,A24))</x:f>
        <x:v>25</x:v>
      </x:c>
      <x:c r="E24" s="2" t="n">
        <x:f>$B$6</x:f>
        <x:v>420</x:v>
      </x:c>
      <x:c r="F24" s="2" t="n">
        <x:f>IF(AND(ISNUMBER(D24),ISNUMBER(E24),D24&gt;=0,D24&lt;=E24),E24-D24,"não disponível")</x:f>
        <x:v>395</x:v>
      </x:c>
      <x:c r="G24" s="12" t="n">
        <x:f>IF(AND(ISNUMBER(B24),ISNUMBER(C24),C24&gt;0),B24/C24,"não disponível")</x:f>
        <x:v>1.02</x:v>
      </x:c>
      <x:c r="H24" s="12" t="n">
        <x:f>IF(AND(ISNUMBER(B24),ISNUMBER(Dados!B18),Dados!B18&gt;0),Dados!C18/Dados!B18,"não disponível")</x:f>
        <x:v>0.012903225806451613</x:v>
      </x:c>
      <x:c r="I24" s="12" t="n">
        <x:f>IF(AND(ISNUMBER(F24),E24&gt;0),D24/E24,"não disponível")</x:f>
        <x:v>0.05952380952380952</x:v>
      </x:c>
      <x:c r="J24" s="2" t="n">
        <x:f>IF(ISNUMBER(B24),Dados!B18,"não disponível")</x:f>
        <x:v>310</x:v>
      </x:c>
      <x:c r="K24" s="2"/>
      <x:c r="L24" s="2"/>
      <x:c r="M24" s="2"/>
      <x:c r="N24" s="2"/>
      <x:c r="O24" s="2"/>
      <x:c r="P24" s="2"/>
    </x:row>
    <x:row r="25" ht="23" customHeight="1">
      <x:c r="A25" s="8" t="n">
        <x:f>Dados!A19</x:f>
        <x:v>46302.5</x:v>
      </x:c>
      <x:c r="B25" s="2" t="n">
        <x:f>IF(OR(COUNT(Dados!B19:C19)&lt;&gt;2,Dados!C19&gt;Dados!B19,MIN(Dados!B19:C19)&lt;0),"não disponível",Dados!B19-Dados!C19)</x:f>
        <x:v>294</x:v>
      </x:c>
      <x:c r="C25" s="2" t="n">
        <x:f>IF(AND(ISNUMBER(Dados!D19),Dados!D19&gt;=0),Dados!D19,"não disponível")</x:f>
        <x:v>300</x:v>
      </x:c>
      <x:c r="D25" s="2" t="n">
        <x:f>IF(COUNT(Dados!K6:K65)&lt;&gt;60,"não disponível",SUMIFS(Dados!$K$6:$K$65,Dados!$I$6:$I$65,A25))</x:f>
        <x:v>40</x:v>
      </x:c>
      <x:c r="E25" s="2" t="n">
        <x:f>$B$6</x:f>
        <x:v>420</x:v>
      </x:c>
      <x:c r="F25" s="2" t="n">
        <x:f>IF(AND(ISNUMBER(D25),ISNUMBER(E25),D25&gt;=0,D25&lt;=E25),E25-D25,"não disponível")</x:f>
        <x:v>380</x:v>
      </x:c>
      <x:c r="G25" s="12" t="n">
        <x:f>IF(AND(ISNUMBER(B25),ISNUMBER(C25),C25&gt;0),B25/C25,"não disponível")</x:f>
        <x:v>0.98</x:v>
      </x:c>
      <x:c r="H25" s="12" t="n">
        <x:f>IF(AND(ISNUMBER(B25),ISNUMBER(Dados!B19),Dados!B19&gt;0),Dados!C19/Dados!B19,"não disponível")</x:f>
        <x:v>0.02</x:v>
      </x:c>
      <x:c r="I25" s="12" t="n">
        <x:f>IF(AND(ISNUMBER(F25),E25&gt;0),D25/E25,"não disponível")</x:f>
        <x:v>0.09523809523809523</x:v>
      </x:c>
      <x:c r="J25" s="2" t="n">
        <x:f>IF(ISNUMBER(B25),Dados!B19,"não disponível")</x:f>
        <x:v>300</x:v>
      </x:c>
      <x:c r="K25" s="2"/>
      <x:c r="L25" s="2"/>
      <x:c r="M25" s="2"/>
      <x:c r="N25" s="2"/>
      <x:c r="O25" s="2"/>
      <x:c r="P25" s="2"/>
    </x:row>
    <x:row r="26" ht="23" customHeight="1">
      <x:c r="A26" s="8" t="n">
        <x:f>Dados!A20</x:f>
        <x:v>46303.5</x:v>
      </x:c>
      <x:c r="B26" s="2" t="n">
        <x:f>IF(OR(COUNT(Dados!B20:C20)&lt;&gt;2,Dados!C20&gt;Dados!B20,MIN(Dados!B20:C20)&lt;0),"não disponível",Dados!B20-Dados!C20)</x:f>
        <x:v>275</x:v>
      </x:c>
      <x:c r="C26" s="2" t="n">
        <x:f>IF(AND(ISNUMBER(Dados!D20),Dados!D20&gt;=0),Dados!D20,"não disponível")</x:f>
        <x:v>300</x:v>
      </x:c>
      <x:c r="D26" s="2" t="n">
        <x:f>IF(COUNT(Dados!K6:K65)&lt;&gt;60,"não disponível",SUMIFS(Dados!$K$6:$K$65,Dados!$I$6:$I$65,A26))</x:f>
        <x:v>60</x:v>
      </x:c>
      <x:c r="E26" s="2" t="n">
        <x:f>$B$6</x:f>
        <x:v>420</x:v>
      </x:c>
      <x:c r="F26" s="2" t="n">
        <x:f>IF(AND(ISNUMBER(D26),ISNUMBER(E26),D26&gt;=0,D26&lt;=E26),E26-D26,"não disponível")</x:f>
        <x:v>360</x:v>
      </x:c>
      <x:c r="G26" s="12" t="n">
        <x:f>IF(AND(ISNUMBER(B26),ISNUMBER(C26),C26&gt;0),B26/C26,"não disponível")</x:f>
        <x:v>0.9166666666666666</x:v>
      </x:c>
      <x:c r="H26" s="12" t="n">
        <x:f>IF(AND(ISNUMBER(B26),ISNUMBER(Dados!B20),Dados!B20&gt;0),Dados!C20/Dados!B20,"não disponível")</x:f>
        <x:v>0.03169014084507042</x:v>
      </x:c>
      <x:c r="I26" s="12" t="n">
        <x:f>IF(AND(ISNUMBER(F26),E26&gt;0),D26/E26,"não disponível")</x:f>
        <x:v>0.14285714285714285</x:v>
      </x:c>
      <x:c r="J26" s="2" t="n">
        <x:f>IF(ISNUMBER(B26),Dados!B20,"não disponível")</x:f>
        <x:v>284</x:v>
      </x:c>
      <x:c r="K26" s="2"/>
      <x:c r="L26" s="2"/>
      <x:c r="M26" s="2"/>
      <x:c r="N26" s="2"/>
      <x:c r="O26" s="2"/>
      <x:c r="P26" s="2"/>
    </x:row>
    <x:row r="27" ht="23" customHeight="1">
      <x:c r="A27" s="8" t="n">
        <x:f>Dados!A21</x:f>
        <x:v>46304.5</x:v>
      </x:c>
      <x:c r="B27" s="2" t="n">
        <x:f>IF(OR(COUNT(Dados!B21:C21)&lt;&gt;2,Dados!C21&gt;Dados!B21,MIN(Dados!B21:C21)&lt;0),"não disponível",Dados!B21-Dados!C21)</x:f>
        <x:v>309</x:v>
      </x:c>
      <x:c r="C27" s="2" t="n">
        <x:f>IF(AND(ISNUMBER(Dados!D21),Dados!D21&gt;=0),Dados!D21,"não disponível")</x:f>
        <x:v>300</x:v>
      </x:c>
      <x:c r="D27" s="2" t="n">
        <x:f>IF(COUNT(Dados!K6:K65)&lt;&gt;60,"não disponível",SUMIFS(Dados!$K$6:$K$65,Dados!$I$6:$I$65,A27))</x:f>
        <x:v>20</x:v>
      </x:c>
      <x:c r="E27" s="2" t="n">
        <x:f>$B$6</x:f>
        <x:v>420</x:v>
      </x:c>
      <x:c r="F27" s="2" t="n">
        <x:f>IF(AND(ISNUMBER(D27),ISNUMBER(E27),D27&gt;=0,D27&lt;=E27),E27-D27,"não disponível")</x:f>
        <x:v>400</x:v>
      </x:c>
      <x:c r="G27" s="12" t="n">
        <x:f>IF(AND(ISNUMBER(B27),ISNUMBER(C27),C27&gt;0),B27/C27,"não disponível")</x:f>
        <x:v>1.03</x:v>
      </x:c>
      <x:c r="H27" s="12" t="n">
        <x:f>IF(AND(ISNUMBER(B27),ISNUMBER(Dados!B21),Dados!B21&gt;0),Dados!C21/Dados!B21,"não disponível")</x:f>
        <x:v>0.009615384615384616</x:v>
      </x:c>
      <x:c r="I27" s="12" t="n">
        <x:f>IF(AND(ISNUMBER(F27),E27&gt;0),D27/E27,"não disponível")</x:f>
        <x:v>0.047619047619047616</x:v>
      </x:c>
      <x:c r="J27" s="2" t="n">
        <x:f>IF(ISNUMBER(B27),Dados!B21,"não disponível")</x:f>
        <x:v>312</x:v>
      </x:c>
      <x:c r="K27" s="2"/>
      <x:c r="L27" s="2"/>
      <x:c r="M27" s="2"/>
      <x:c r="N27" s="2"/>
      <x:c r="O27" s="2"/>
      <x:c r="P27" s="2"/>
    </x:row>
    <x:row r="28" ht="23" customHeight="1">
      <x:c r="A28" s="8" t="n">
        <x:f>Dados!A22</x:f>
        <x:v>46307.5</x:v>
      </x:c>
      <x:c r="B28" s="2" t="n">
        <x:f>IF(OR(COUNT(Dados!B22:C22)&lt;&gt;2,Dados!C22&gt;Dados!B22,MIN(Dados!B22:C22)&lt;0),"não disponível",Dados!B22-Dados!C22)</x:f>
        <x:v>301</x:v>
      </x:c>
      <x:c r="C28" s="2" t="n">
        <x:f>IF(AND(ISNUMBER(Dados!D22),Dados!D22&gt;=0),Dados!D22,"não disponível")</x:f>
        <x:v>300</x:v>
      </x:c>
      <x:c r="D28" s="2" t="n">
        <x:f>IF(COUNT(Dados!K6:K65)&lt;&gt;60,"não disponível",SUMIFS(Dados!$K$6:$K$65,Dados!$I$6:$I$65,A28))</x:f>
        <x:v>30</x:v>
      </x:c>
      <x:c r="E28" s="2" t="n">
        <x:f>$B$6</x:f>
        <x:v>420</x:v>
      </x:c>
      <x:c r="F28" s="2" t="n">
        <x:f>IF(AND(ISNUMBER(D28),ISNUMBER(E28),D28&gt;=0,D28&lt;=E28),E28-D28,"não disponível")</x:f>
        <x:v>390</x:v>
      </x:c>
      <x:c r="G28" s="12" t="n">
        <x:f>IF(AND(ISNUMBER(B28),ISNUMBER(C28),C28&gt;0),B28/C28,"não disponível")</x:f>
        <x:v>1.0033333333333334</x:v>
      </x:c>
      <x:c r="H28" s="12" t="n">
        <x:f>IF(AND(ISNUMBER(B28),ISNUMBER(Dados!B22),Dados!B22&gt;0),Dados!C22/Dados!B22,"não disponível")</x:f>
        <x:v>0.016339869281045753</x:v>
      </x:c>
      <x:c r="I28" s="12" t="n">
        <x:f>IF(AND(ISNUMBER(F28),E28&gt;0),D28/E28,"não disponível")</x:f>
        <x:v>0.07142857142857142</x:v>
      </x:c>
      <x:c r="J28" s="2" t="n">
        <x:f>IF(ISNUMBER(B28),Dados!B22,"não disponível")</x:f>
        <x:v>306</x:v>
      </x:c>
      <x:c r="K28" s="2"/>
      <x:c r="L28" s="2"/>
      <x:c r="M28" s="2"/>
      <x:c r="N28" s="2"/>
      <x:c r="O28" s="2"/>
      <x:c r="P28" s="2"/>
    </x:row>
    <x:row r="29" ht="23" customHeight="1">
      <x:c r="A29" s="8" t="n">
        <x:f>Dados!A23</x:f>
        <x:v>46308.5</x:v>
      </x:c>
      <x:c r="B29" s="2" t="n">
        <x:f>IF(OR(COUNT(Dados!B23:C23)&lt;&gt;2,Dados!C23&gt;Dados!B23,MIN(Dados!B23:C23)&lt;0),"não disponível",Dados!B23-Dados!C23)</x:f>
        <x:v>292</x:v>
      </x:c>
      <x:c r="C29" s="2" t="n">
        <x:f>IF(AND(ISNUMBER(Dados!D23),Dados!D23&gt;=0),Dados!D23,"não disponível")</x:f>
        <x:v>300</x:v>
      </x:c>
      <x:c r="D29" s="2" t="n">
        <x:f>IF(COUNT(Dados!K6:K65)&lt;&gt;60,"não disponível",SUMIFS(Dados!$K$6:$K$65,Dados!$I$6:$I$65,A29))</x:f>
        <x:v>40</x:v>
      </x:c>
      <x:c r="E29" s="2" t="n">
        <x:f>$B$6</x:f>
        <x:v>420</x:v>
      </x:c>
      <x:c r="F29" s="2" t="n">
        <x:f>IF(AND(ISNUMBER(D29),ISNUMBER(E29),D29&gt;=0,D29&lt;=E29),E29-D29,"não disponível")</x:f>
        <x:v>380</x:v>
      </x:c>
      <x:c r="G29" s="12" t="n">
        <x:f>IF(AND(ISNUMBER(B29),ISNUMBER(C29),C29&gt;0),B29/C29,"não disponível")</x:f>
        <x:v>0.9733333333333334</x:v>
      </x:c>
      <x:c r="H29" s="12" t="n">
        <x:f>IF(AND(ISNUMBER(B29),ISNUMBER(Dados!B23),Dados!B23&gt;0),Dados!C23/Dados!B23,"não disponível")</x:f>
        <x:v>0.020134228187919462</x:v>
      </x:c>
      <x:c r="I29" s="12" t="n">
        <x:f>IF(AND(ISNUMBER(F29),E29&gt;0),D29/E29,"não disponível")</x:f>
        <x:v>0.09523809523809523</x:v>
      </x:c>
      <x:c r="J29" s="2" t="n">
        <x:f>IF(ISNUMBER(B29),Dados!B23,"não disponível")</x:f>
        <x:v>298</x:v>
      </x:c>
      <x:c r="K29" s="2"/>
      <x:c r="L29" s="2"/>
      <x:c r="M29" s="2"/>
      <x:c r="N29" s="2"/>
      <x:c r="O29" s="2"/>
      <x:c r="P29" s="2"/>
    </x:row>
    <x:row r="30" ht="23" customHeight="1">
      <x:c r="A30" s="8" t="n">
        <x:f>Dados!A24</x:f>
        <x:v>46309.5</x:v>
      </x:c>
      <x:c r="B30" s="2" t="n">
        <x:f>IF(OR(COUNT(Dados!B24:C24)&lt;&gt;2,Dados!C24&gt;Dados!B24,MIN(Dados!B24:C24)&lt;0),"não disponível",Dados!B24-Dados!C24)</x:f>
        <x:v>287</x:v>
      </x:c>
      <x:c r="C30" s="2" t="n">
        <x:f>IF(AND(ISNUMBER(Dados!D24),Dados!D24&gt;=0),Dados!D24,"não disponível")</x:f>
        <x:v>300</x:v>
      </x:c>
      <x:c r="D30" s="2" t="n">
        <x:f>IF(COUNT(Dados!K6:K65)&lt;&gt;60,"não disponível",SUMIFS(Dados!$K$6:$K$65,Dados!$I$6:$I$65,A30))</x:f>
        <x:v>45</x:v>
      </x:c>
      <x:c r="E30" s="2" t="n">
        <x:f>$B$6</x:f>
        <x:v>420</x:v>
      </x:c>
      <x:c r="F30" s="2" t="n">
        <x:f>IF(AND(ISNUMBER(D30),ISNUMBER(E30),D30&gt;=0,D30&lt;=E30),E30-D30,"não disponível")</x:f>
        <x:v>375</x:v>
      </x:c>
      <x:c r="G30" s="12" t="n">
        <x:f>IF(AND(ISNUMBER(B30),ISNUMBER(C30),C30&gt;0),B30/C30,"não disponível")</x:f>
        <x:v>0.9566666666666667</x:v>
      </x:c>
      <x:c r="H30" s="12" t="n">
        <x:f>IF(AND(ISNUMBER(B30),ISNUMBER(Dados!B24),Dados!B24&gt;0),Dados!C24/Dados!B24,"não disponível")</x:f>
        <x:v>0.023809523809523808</x:v>
      </x:c>
      <x:c r="I30" s="12" t="n">
        <x:f>IF(AND(ISNUMBER(F30),E30&gt;0),D30/E30,"não disponível")</x:f>
        <x:v>0.10714285714285714</x:v>
      </x:c>
      <x:c r="J30" s="2" t="n">
        <x:f>IF(ISNUMBER(B30),Dados!B24,"não disponível")</x:f>
        <x:v>294</x:v>
      </x:c>
      <x:c r="K30" s="2"/>
      <x:c r="L30" s="2"/>
      <x:c r="M30" s="2"/>
      <x:c r="N30" s="2"/>
      <x:c r="O30" s="2"/>
      <x:c r="P30" s="2"/>
    </x:row>
    <x:row r="31" ht="23" customHeight="1">
      <x:c r="A31" s="8" t="n">
        <x:f>Dados!A25</x:f>
        <x:v>46310.5</x:v>
      </x:c>
      <x:c r="B31" s="2" t="n">
        <x:f>IF(OR(COUNT(Dados!B25:C25)&lt;&gt;2,Dados!C25&gt;Dados!B25,MIN(Dados!B25:C25)&lt;0),"não disponível",Dados!B25-Dados!C25)</x:f>
        <x:v>315</x:v>
      </x:c>
      <x:c r="C31" s="2" t="n">
        <x:f>IF(AND(ISNUMBER(Dados!D25),Dados!D25&gt;=0),Dados!D25,"não disponível")</x:f>
        <x:v>300</x:v>
      </x:c>
      <x:c r="D31" s="2" t="n">
        <x:f>IF(COUNT(Dados!K6:K65)&lt;&gt;60,"não disponível",SUMIFS(Dados!$K$6:$K$65,Dados!$I$6:$I$65,A31))</x:f>
        <x:v>15</x:v>
      </x:c>
      <x:c r="E31" s="2" t="n">
        <x:f>$B$6</x:f>
        <x:v>420</x:v>
      </x:c>
      <x:c r="F31" s="2" t="n">
        <x:f>IF(AND(ISNUMBER(D31),ISNUMBER(E31),D31&gt;=0,D31&lt;=E31),E31-D31,"não disponível")</x:f>
        <x:v>405</x:v>
      </x:c>
      <x:c r="G31" s="12" t="n">
        <x:f>IF(AND(ISNUMBER(B31),ISNUMBER(C31),C31&gt;0),B31/C31,"não disponível")</x:f>
        <x:v>1.05</x:v>
      </x:c>
      <x:c r="H31" s="12" t="n">
        <x:f>IF(AND(ISNUMBER(B31),ISNUMBER(Dados!B25),Dados!B25&gt;0),Dados!C25/Dados!B25,"não disponível")</x:f>
        <x:v>0.009433962264150943</x:v>
      </x:c>
      <x:c r="I31" s="12" t="n">
        <x:f>IF(AND(ISNUMBER(F31),E31&gt;0),D31/E31,"não disponível")</x:f>
        <x:v>0.03571428571428571</x:v>
      </x:c>
      <x:c r="J31" s="2" t="n">
        <x:f>IF(ISNUMBER(B31),Dados!B25,"não disponível")</x:f>
        <x:v>318</x:v>
      </x:c>
      <x:c r="K31" s="2"/>
      <x:c r="L31" s="2"/>
      <x:c r="M31" s="2"/>
      <x:c r="N31" s="2"/>
      <x:c r="O31" s="2"/>
      <x:c r="P31" s="2"/>
    </x:row>
    <x:row r="32" ht="23" customHeight="1">
      <x:c r="A32" s="8" t="n">
        <x:f>Dados!A26</x:f>
        <x:v>46311.5</x:v>
      </x:c>
      <x:c r="B32" s="2" t="n">
        <x:f>IF(OR(COUNT(Dados!B26:C26)&lt;&gt;2,Dados!C26&gt;Dados!B26,MIN(Dados!B26:C26)&lt;0),"não disponível",Dados!B26-Dados!C26)</x:f>
        <x:v>299</x:v>
      </x:c>
      <x:c r="C32" s="2" t="n">
        <x:f>IF(AND(ISNUMBER(Dados!D26),Dados!D26&gt;=0),Dados!D26,"não disponível")</x:f>
        <x:v>300</x:v>
      </x:c>
      <x:c r="D32" s="2" t="n">
        <x:f>IF(COUNT(Dados!K6:K65)&lt;&gt;60,"não disponível",SUMIFS(Dados!$K$6:$K$65,Dados!$I$6:$I$65,A32))</x:f>
        <x:v>35</x:v>
      </x:c>
      <x:c r="E32" s="2" t="n">
        <x:f>$B$6</x:f>
        <x:v>420</x:v>
      </x:c>
      <x:c r="F32" s="2" t="n">
        <x:f>IF(AND(ISNUMBER(D32),ISNUMBER(E32),D32&gt;=0,D32&lt;=E32),E32-D32,"não disponível")</x:f>
        <x:v>385</x:v>
      </x:c>
      <x:c r="G32" s="12" t="n">
        <x:f>IF(AND(ISNUMBER(B32),ISNUMBER(C32),C32&gt;0),B32/C32,"não disponível")</x:f>
        <x:v>0.9966666666666667</x:v>
      </x:c>
      <x:c r="H32" s="12" t="n">
        <x:f>IF(AND(ISNUMBER(B32),ISNUMBER(Dados!B26),Dados!B26&gt;0),Dados!C26/Dados!B26,"não disponível")</x:f>
        <x:v>0.01644736842105263</x:v>
      </x:c>
      <x:c r="I32" s="12" t="n">
        <x:f>IF(AND(ISNUMBER(F32),E32&gt;0),D32/E32,"não disponível")</x:f>
        <x:v>0.08333333333333333</x:v>
      </x:c>
      <x:c r="J32" s="2" t="n">
        <x:f>IF(ISNUMBER(B32),Dados!B26,"não disponível")</x:f>
        <x:v>304</x:v>
      </x:c>
      <x:c r="K32" s="2"/>
      <x:c r="L32" s="2"/>
      <x:c r="M32" s="2"/>
      <x:c r="N32" s="2"/>
      <x:c r="O32" s="2"/>
      <x:c r="P32" s="2"/>
    </x:row>
    <x:row r="33" ht="23" customHeight="1">
      <x:c r="A33" s="8" t="n">
        <x:f>Dados!A27</x:f>
        <x:v>46314.5</x:v>
      </x:c>
      <x:c r="B33" s="2" t="n">
        <x:f>IF(OR(COUNT(Dados!B27:C27)&lt;&gt;2,Dados!C27&gt;Dados!B27,MIN(Dados!B27:C27)&lt;0),"não disponível",Dados!B27-Dados!C27)</x:f>
        <x:v>282</x:v>
      </x:c>
      <x:c r="C33" s="2" t="n">
        <x:f>IF(AND(ISNUMBER(Dados!D27),Dados!D27&gt;=0),Dados!D27,"não disponível")</x:f>
        <x:v>300</x:v>
      </x:c>
      <x:c r="D33" s="2" t="n">
        <x:f>IF(COUNT(Dados!K6:K65)&lt;&gt;60,"não disponível",SUMIFS(Dados!$K$6:$K$65,Dados!$I$6:$I$65,A33))</x:f>
        <x:v>50</x:v>
      </x:c>
      <x:c r="E33" s="2" t="n">
        <x:f>$B$6</x:f>
        <x:v>420</x:v>
      </x:c>
      <x:c r="F33" s="2" t="n">
        <x:f>IF(AND(ISNUMBER(D33),ISNUMBER(E33),D33&gt;=0,D33&lt;=E33),E33-D33,"não disponível")</x:f>
        <x:v>370</x:v>
      </x:c>
      <x:c r="G33" s="12" t="n">
        <x:f>IF(AND(ISNUMBER(B33),ISNUMBER(C33),C33&gt;0),B33/C33,"não disponível")</x:f>
        <x:v>0.94</x:v>
      </x:c>
      <x:c r="H33" s="12" t="n">
        <x:f>IF(AND(ISNUMBER(B33),ISNUMBER(Dados!B27),Dados!B27&gt;0),Dados!C27/Dados!B27,"não disponível")</x:f>
        <x:v>0.027586206896551724</x:v>
      </x:c>
      <x:c r="I33" s="12" t="n">
        <x:f>IF(AND(ISNUMBER(F33),E33&gt;0),D33/E33,"não disponível")</x:f>
        <x:v>0.11904761904761904</x:v>
      </x:c>
      <x:c r="J33" s="2" t="n">
        <x:f>IF(ISNUMBER(B33),Dados!B27,"não disponível")</x:f>
        <x:v>290</x:v>
      </x:c>
      <x:c r="K33" s="2"/>
      <x:c r="L33" s="2"/>
      <x:c r="M33" s="2"/>
      <x:c r="N33" s="2"/>
      <x:c r="O33" s="2"/>
      <x:c r="P33" s="2"/>
    </x:row>
    <x:row r="34" ht="23" customHeight="1">
      <x:c r="A34" s="8" t="n">
        <x:f>Dados!A28</x:f>
        <x:v>46315.5</x:v>
      </x:c>
      <x:c r="B34" s="2" t="n">
        <x:f>IF(OR(COUNT(Dados!B28:C28)&lt;&gt;2,Dados!C28&gt;Dados!B28,MIN(Dados!B28:C28)&lt;0),"não disponível",Dados!B28-Dados!C28)</x:f>
        <x:v>304</x:v>
      </x:c>
      <x:c r="C34" s="2" t="n">
        <x:f>IF(AND(ISNUMBER(Dados!D28),Dados!D28&gt;=0),Dados!D28,"não disponível")</x:f>
        <x:v>300</x:v>
      </x:c>
      <x:c r="D34" s="2" t="n">
        <x:f>IF(COUNT(Dados!K6:K65)&lt;&gt;60,"não disponível",SUMIFS(Dados!$K$6:$K$65,Dados!$I$6:$I$65,A34))</x:f>
        <x:v>30</x:v>
      </x:c>
      <x:c r="E34" s="2" t="n">
        <x:f>$B$6</x:f>
        <x:v>420</x:v>
      </x:c>
      <x:c r="F34" s="2" t="n">
        <x:f>IF(AND(ISNUMBER(D34),ISNUMBER(E34),D34&gt;=0,D34&lt;=E34),E34-D34,"não disponível")</x:f>
        <x:v>390</x:v>
      </x:c>
      <x:c r="G34" s="12" t="n">
        <x:f>IF(AND(ISNUMBER(B34),ISNUMBER(C34),C34&gt;0),B34/C34,"não disponível")</x:f>
        <x:v>1.0133333333333334</x:v>
      </x:c>
      <x:c r="H34" s="12" t="n">
        <x:f>IF(AND(ISNUMBER(B34),ISNUMBER(Dados!B28),Dados!B28&gt;0),Dados!C28/Dados!B28,"não disponível")</x:f>
        <x:v>0.012987012987012988</x:v>
      </x:c>
      <x:c r="I34" s="12" t="n">
        <x:f>IF(AND(ISNUMBER(F34),E34&gt;0),D34/E34,"não disponível")</x:f>
        <x:v>0.07142857142857142</x:v>
      </x:c>
      <x:c r="J34" s="2" t="n">
        <x:f>IF(ISNUMBER(B34),Dados!B28,"não disponível")</x:f>
        <x:v>308</x:v>
      </x:c>
      <x:c r="K34" s="2"/>
      <x:c r="L34" s="2"/>
      <x:c r="M34" s="2"/>
      <x:c r="N34" s="2"/>
      <x:c r="O34" s="2"/>
      <x:c r="P34" s="2"/>
    </x:row>
    <x:row r="35" ht="23" customHeight="1">
      <x:c r="A35" s="8" t="n">
        <x:f>Dados!A29</x:f>
        <x:v>46316.5</x:v>
      </x:c>
      <x:c r="B35" s="2" t="n">
        <x:f>IF(OR(COUNT(Dados!B29:C29)&lt;&gt;2,Dados!C29&gt;Dados!B29,MIN(Dados!B29:C29)&lt;0),"não disponível",Dados!B29-Dados!C29)</x:f>
        <x:v>294</x:v>
      </x:c>
      <x:c r="C35" s="2" t="n">
        <x:f>IF(AND(ISNUMBER(Dados!D29),Dados!D29&gt;=0),Dados!D29,"não disponível")</x:f>
        <x:v>300</x:v>
      </x:c>
      <x:c r="D35" s="2" t="n">
        <x:f>IF(COUNT(Dados!K6:K65)&lt;&gt;60,"não disponível",SUMIFS(Dados!$K$6:$K$65,Dados!$I$6:$I$65,A35))</x:f>
        <x:v>40</x:v>
      </x:c>
      <x:c r="E35" s="2" t="n">
        <x:f>$B$6</x:f>
        <x:v>420</x:v>
      </x:c>
      <x:c r="F35" s="2" t="n">
        <x:f>IF(AND(ISNUMBER(D35),ISNUMBER(E35),D35&gt;=0,D35&lt;=E35),E35-D35,"não disponível")</x:f>
        <x:v>380</x:v>
      </x:c>
      <x:c r="G35" s="12" t="n">
        <x:f>IF(AND(ISNUMBER(B35),ISNUMBER(C35),C35&gt;0),B35/C35,"não disponível")</x:f>
        <x:v>0.98</x:v>
      </x:c>
      <x:c r="H35" s="12" t="n">
        <x:f>IF(AND(ISNUMBER(B35),ISNUMBER(Dados!B29),Dados!B29&gt;0),Dados!C29/Dados!B29,"não disponível")</x:f>
        <x:v>0.02</x:v>
      </x:c>
      <x:c r="I35" s="12" t="n">
        <x:f>IF(AND(ISNUMBER(F35),E35&gt;0),D35/E35,"não disponível")</x:f>
        <x:v>0.09523809523809523</x:v>
      </x:c>
      <x:c r="J35" s="2" t="n">
        <x:f>IF(ISNUMBER(B35),Dados!B29,"não disponível")</x:f>
        <x:v>300</x:v>
      </x:c>
      <x:c r="K35" s="2"/>
      <x:c r="L35" s="2"/>
      <x:c r="M35" s="2"/>
      <x:c r="N35" s="2"/>
      <x:c r="O35" s="2"/>
      <x:c r="P35" s="2"/>
    </x:row>
    <x:row r="36" ht="23" customHeight="1">
      <x:c r="A36" s="8" t="n">
        <x:f>Dados!A30</x:f>
        <x:v>46317.5</x:v>
      </x:c>
      <x:c r="B36" s="2" t="n">
        <x:f>IF(OR(COUNT(Dados!B30:C30)&lt;&gt;2,Dados!C30&gt;Dados!B30,MIN(Dados!B30:C30)&lt;0),"não disponível",Dados!B30-Dados!C30)</x:f>
        <x:v>310</x:v>
      </x:c>
      <x:c r="C36" s="2" t="n">
        <x:f>IF(AND(ISNUMBER(Dados!D30),Dados!D30&gt;=0),Dados!D30,"não disponível")</x:f>
        <x:v>300</x:v>
      </x:c>
      <x:c r="D36" s="2" t="n">
        <x:f>IF(COUNT(Dados!K6:K65)&lt;&gt;60,"não disponível",SUMIFS(Dados!$K$6:$K$65,Dados!$I$6:$I$65,A36))</x:f>
        <x:v>20</x:v>
      </x:c>
      <x:c r="E36" s="2" t="n">
        <x:f>$B$6</x:f>
        <x:v>420</x:v>
      </x:c>
      <x:c r="F36" s="2" t="n">
        <x:f>IF(AND(ISNUMBER(D36),ISNUMBER(E36),D36&gt;=0,D36&lt;=E36),E36-D36,"não disponível")</x:f>
        <x:v>400</x:v>
      </x:c>
      <x:c r="G36" s="12" t="n">
        <x:f>IF(AND(ISNUMBER(B36),ISNUMBER(C36),C36&gt;0),B36/C36,"não disponível")</x:f>
        <x:v>1.0333333333333334</x:v>
      </x:c>
      <x:c r="H36" s="12" t="n">
        <x:f>IF(AND(ISNUMBER(B36),ISNUMBER(Dados!B30),Dados!B30&gt;0),Dados!C30/Dados!B30,"não disponível")</x:f>
        <x:v>0.012738853503184714</x:v>
      </x:c>
      <x:c r="I36" s="12" t="n">
        <x:f>IF(AND(ISNUMBER(F36),E36&gt;0),D36/E36,"não disponível")</x:f>
        <x:v>0.047619047619047616</x:v>
      </x:c>
      <x:c r="J36" s="2" t="n">
        <x:f>IF(ISNUMBER(B36),Dados!B30,"não disponível")</x:f>
        <x:v>314</x:v>
      </x:c>
      <x:c r="K36" s="2"/>
      <x:c r="L36" s="2"/>
      <x:c r="M36" s="2"/>
      <x:c r="N36" s="2"/>
      <x:c r="O36" s="2"/>
      <x:c r="P36" s="2"/>
    </x:row>
    <x:row r="37" ht="23" customHeight="1">
      <x:c r="A37" s="8" t="n">
        <x:f>Dados!A31</x:f>
        <x:v>46318.5</x:v>
      </x:c>
      <x:c r="B37" s="2" t="n">
        <x:f>IF(OR(COUNT(Dados!B31:C31)&lt;&gt;2,Dados!C31&gt;Dados!B31,MIN(Dados!B31:C31)&lt;0),"não disponível",Dados!B31-Dados!C31)</x:f>
        <x:v>285</x:v>
      </x:c>
      <x:c r="C37" s="2" t="n">
        <x:f>IF(AND(ISNUMBER(Dados!D31),Dados!D31&gt;=0),Dados!D31,"não disponível")</x:f>
        <x:v>300</x:v>
      </x:c>
      <x:c r="D37" s="2" t="n">
        <x:f>IF(COUNT(Dados!K6:K65)&lt;&gt;60,"não disponível",SUMIFS(Dados!$K$6:$K$65,Dados!$I$6:$I$65,A37))</x:f>
        <x:v>50</x:v>
      </x:c>
      <x:c r="E37" s="2" t="n">
        <x:f>$B$6</x:f>
        <x:v>420</x:v>
      </x:c>
      <x:c r="F37" s="2" t="n">
        <x:f>IF(AND(ISNUMBER(D37),ISNUMBER(E37),D37&gt;=0,D37&lt;=E37),E37-D37,"não disponível")</x:f>
        <x:v>370</x:v>
      </x:c>
      <x:c r="G37" s="12" t="n">
        <x:f>IF(AND(ISNUMBER(B37),ISNUMBER(C37),C37&gt;0),B37/C37,"não disponível")</x:f>
        <x:v>0.95</x:v>
      </x:c>
      <x:c r="H37" s="12" t="n">
        <x:f>IF(AND(ISNUMBER(B37),ISNUMBER(Dados!B31),Dados!B31&gt;0),Dados!C31/Dados!B31,"não disponível")</x:f>
        <x:v>0.023972602739726026</x:v>
      </x:c>
      <x:c r="I37" s="12" t="n">
        <x:f>IF(AND(ISNUMBER(F37),E37&gt;0),D37/E37,"não disponível")</x:f>
        <x:v>0.11904761904761904</x:v>
      </x:c>
      <x:c r="J37" s="2" t="n">
        <x:f>IF(ISNUMBER(B37),Dados!B31,"não disponível")</x:f>
        <x:v>292</x:v>
      </x:c>
      <x:c r="K37" s="2"/>
      <x:c r="L37" s="2"/>
      <x:c r="M37" s="2"/>
      <x:c r="N37" s="2"/>
      <x:c r="O37" s="2"/>
      <x:c r="P37" s="2"/>
    </x:row>
    <x:row r="38" ht="23" customHeight="1">
      <x:c r="A38" s="8" t="n">
        <x:f>Dados!A32</x:f>
        <x:v>46321.5</x:v>
      </x:c>
      <x:c r="B38" s="2" t="n">
        <x:f>IF(OR(COUNT(Dados!B32:C32)&lt;&gt;2,Dados!C32&gt;Dados!B32,MIN(Dados!B32:C32)&lt;0),"não disponível",Dados!B32-Dados!C32)</x:f>
        <x:v>301</x:v>
      </x:c>
      <x:c r="C38" s="2" t="n">
        <x:f>IF(AND(ISNUMBER(Dados!D32),Dados!D32&gt;=0),Dados!D32,"não disponível")</x:f>
        <x:v>300</x:v>
      </x:c>
      <x:c r="D38" s="2" t="n">
        <x:f>IF(COUNT(Dados!K6:K65)&lt;&gt;60,"não disponível",SUMIFS(Dados!$K$6:$K$65,Dados!$I$6:$I$65,A38))</x:f>
        <x:v>30</x:v>
      </x:c>
      <x:c r="E38" s="2" t="n">
        <x:f>$B$6</x:f>
        <x:v>420</x:v>
      </x:c>
      <x:c r="F38" s="2" t="n">
        <x:f>IF(AND(ISNUMBER(D38),ISNUMBER(E38),D38&gt;=0,D38&lt;=E38),E38-D38,"não disponível")</x:f>
        <x:v>390</x:v>
      </x:c>
      <x:c r="G38" s="12" t="n">
        <x:f>IF(AND(ISNUMBER(B38),ISNUMBER(C38),C38&gt;0),B38/C38,"não disponível")</x:f>
        <x:v>1.0033333333333334</x:v>
      </x:c>
      <x:c r="H38" s="12" t="n">
        <x:f>IF(AND(ISNUMBER(B38),ISNUMBER(Dados!B32),Dados!B32&gt;0),Dados!C32/Dados!B32,"não disponível")</x:f>
        <x:v>0.016339869281045753</x:v>
      </x:c>
      <x:c r="I38" s="12" t="n">
        <x:f>IF(AND(ISNUMBER(F38),E38&gt;0),D38/E38,"não disponível")</x:f>
        <x:v>0.07142857142857142</x:v>
      </x:c>
      <x:c r="J38" s="2" t="n">
        <x:f>IF(ISNUMBER(B38),Dados!B32,"não disponível")</x:f>
        <x:v>306</x:v>
      </x:c>
      <x:c r="K38" s="2"/>
      <x:c r="L38" s="2"/>
      <x:c r="M38" s="2"/>
      <x:c r="N38" s="2"/>
      <x:c r="O38" s="2"/>
      <x:c r="P38" s="2"/>
    </x:row>
    <x:row r="39" ht="23" customHeight="1">
      <x:c r="A39" s="8" t="n">
        <x:f>Dados!A33</x:f>
        <x:v>46322.5</x:v>
      </x:c>
      <x:c r="B39" s="2" t="n">
        <x:f>IF(OR(COUNT(Dados!B33:C33)&lt;&gt;2,Dados!C33&gt;Dados!B33,MIN(Dados!B33:C33)&lt;0),"não disponível",Dados!B33-Dados!C33)</x:f>
        <x:v>306</x:v>
      </x:c>
      <x:c r="C39" s="2" t="n">
        <x:f>IF(AND(ISNUMBER(Dados!D33),Dados!D33&gt;=0),Dados!D33,"não disponível")</x:f>
        <x:v>300</x:v>
      </x:c>
      <x:c r="D39" s="2" t="n">
        <x:f>IF(COUNT(Dados!K6:K65)&lt;&gt;60,"não disponível",SUMIFS(Dados!$K$6:$K$65,Dados!$I$6:$I$65,A39))</x:f>
        <x:v>25</x:v>
      </x:c>
      <x:c r="E39" s="2" t="n">
        <x:f>$B$6</x:f>
        <x:v>420</x:v>
      </x:c>
      <x:c r="F39" s="2" t="n">
        <x:f>IF(AND(ISNUMBER(D39),ISNUMBER(E39),D39&gt;=0,D39&lt;=E39),E39-D39,"não disponível")</x:f>
        <x:v>395</x:v>
      </x:c>
      <x:c r="G39" s="12" t="n">
        <x:f>IF(AND(ISNUMBER(B39),ISNUMBER(C39),C39&gt;0),B39/C39,"não disponível")</x:f>
        <x:v>1.02</x:v>
      </x:c>
      <x:c r="H39" s="12" t="n">
        <x:f>IF(AND(ISNUMBER(B39),ISNUMBER(Dados!B33),Dados!B33&gt;0),Dados!C33/Dados!B33,"não disponível")</x:f>
        <x:v>0.012903225806451613</x:v>
      </x:c>
      <x:c r="I39" s="12" t="n">
        <x:f>IF(AND(ISNUMBER(F39),E39&gt;0),D39/E39,"não disponível")</x:f>
        <x:v>0.05952380952380952</x:v>
      </x:c>
      <x:c r="J39" s="2" t="n">
        <x:f>IF(ISNUMBER(B39),Dados!B33,"não disponível")</x:f>
        <x:v>310</x:v>
      </x:c>
      <x:c r="K39" s="2"/>
      <x:c r="L39" s="2"/>
      <x:c r="M39" s="2"/>
      <x:c r="N39" s="2"/>
      <x:c r="O39" s="2"/>
      <x:c r="P39" s="2"/>
    </x:row>
    <x:row r="40" ht="23" customHeight="1">
      <x:c r="A40" s="8" t="n">
        <x:f>Dados!A34</x:f>
        <x:v>46323.5</x:v>
      </x:c>
      <x:c r="B40" s="2" t="n">
        <x:f>IF(OR(COUNT(Dados!B34:C34)&lt;&gt;2,Dados!C34&gt;Dados!B34,MIN(Dados!B34:C34)&lt;0),"não disponível",Dados!B34-Dados!C34)</x:f>
        <x:v>297</x:v>
      </x:c>
      <x:c r="C40" s="2" t="n">
        <x:f>IF(AND(ISNUMBER(Dados!D34),Dados!D34&gt;=0),Dados!D34,"não disponível")</x:f>
        <x:v>300</x:v>
      </x:c>
      <x:c r="D40" s="2" t="n">
        <x:f>IF(COUNT(Dados!K6:K65)&lt;&gt;60,"não disponível",SUMIFS(Dados!$K$6:$K$65,Dados!$I$6:$I$65,A40))</x:f>
        <x:v>35</x:v>
      </x:c>
      <x:c r="E40" s="2" t="n">
        <x:f>$B$6</x:f>
        <x:v>420</x:v>
      </x:c>
      <x:c r="F40" s="2" t="n">
        <x:f>IF(AND(ISNUMBER(D40),ISNUMBER(E40),D40&gt;=0,D40&lt;=E40),E40-D40,"não disponível")</x:f>
        <x:v>385</x:v>
      </x:c>
      <x:c r="G40" s="12" t="n">
        <x:f>IF(AND(ISNUMBER(B40),ISNUMBER(C40),C40&gt;0),B40/C40,"não disponível")</x:f>
        <x:v>0.99</x:v>
      </x:c>
      <x:c r="H40" s="12" t="n">
        <x:f>IF(AND(ISNUMBER(B40),ISNUMBER(Dados!B34),Dados!B34&gt;0),Dados!C34/Dados!B34,"não disponível")</x:f>
        <x:v>0.016556291390728478</x:v>
      </x:c>
      <x:c r="I40" s="12" t="n">
        <x:f>IF(AND(ISNUMBER(F40),E40&gt;0),D40/E40,"não disponível")</x:f>
        <x:v>0.08333333333333333</x:v>
      </x:c>
      <x:c r="J40" s="2" t="n">
        <x:f>IF(ISNUMBER(B40),Dados!B34,"não disponível")</x:f>
        <x:v>302</x:v>
      </x:c>
      <x:c r="K40" s="2"/>
      <x:c r="L40" s="2"/>
      <x:c r="M40" s="2"/>
      <x:c r="N40" s="2"/>
      <x:c r="O40" s="2"/>
      <x:c r="P40" s="2"/>
    </x:row>
    <x:row r="41" ht="23" customHeight="1">
      <x:c r="A41" s="13" t="str">
        <x:v>Total / razão dos totais</x:v>
      </x:c>
      <x:c r="B41" s="13" t="n">
        <x:f>IF(COUNT(B21:B40)&lt;&gt;20,"não disponível",SUM(B21:B40))</x:f>
        <x:v>5924</x:v>
      </x:c>
      <x:c r="C41" s="13" t="n">
        <x:f>IF(COUNT(C21:C40)&lt;&gt;20,"não disponível",SUM(C21:C40))</x:f>
        <x:v>6000</x:v>
      </x:c>
      <x:c r="D41" s="13" t="n">
        <x:f>IF(COUNT(D21:D40)&lt;&gt;20,"não disponível",SUM(D21:D40))</x:f>
        <x:v>725</x:v>
      </x:c>
      <x:c r="E41" s="13" t="n">
        <x:f>IF(COUNT(E21:E40)&lt;&gt;20,"não disponível",SUM(E21:E40))</x:f>
        <x:v>8400</x:v>
      </x:c>
      <x:c r="F41" s="13" t="n">
        <x:f>IF(COUNT(F21:F40)&lt;&gt;20,"não disponível",SUM(F21:F40))</x:f>
        <x:v>7675</x:v>
      </x:c>
      <x:c r="G41" s="14" t="n">
        <x:f>IF(AND(ISNUMBER(B41),ISNUMBER(C41),C41&gt;0),B41/C41,"não disponível")</x:f>
        <x:v>0.9873333333333333</x:v>
      </x:c>
      <x:c r="H41" s="14" t="n">
        <x:f>IF(AND(ISNUMBER(B41),ISNUMBER(J41),J41&gt;0),(J41-B41)/J41,"não disponível")</x:f>
        <x:v>0.018230029830957905</x:v>
      </x:c>
      <x:c r="I41" s="14" t="n">
        <x:f>IF(AND(ISNUMBER(F41),ISNUMBER(E41),E41&gt;0),D41/E41,"não disponível")</x:f>
        <x:v>0.08630952380952381</x:v>
      </x:c>
      <x:c r="J41" s="13" t="n">
        <x:f>IF(COUNT(J21:J40)&lt;&gt;20,"não disponível",SUM(J21:J40))</x:f>
        <x:v>6034</x:v>
      </x:c>
      <x:c r="K41" s="2"/>
      <x:c r="L41" s="2"/>
      <x:c r="M41" s="2"/>
      <x:c r="N41" s="2"/>
      <x:c r="O41" s="2"/>
      <x:c r="P41" s="2"/>
    </x:row>
    <x:row r="42" ht="23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</x:row>
    <x:row r="43" ht="23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</x:row>
    <x:row r="44" ht="23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</x:row>
    <x:row r="45" ht="23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</x:row>
    <x:row r="46" ht="23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</x:row>
    <x:row r="47" ht="23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</x:row>
  </x:sheetData>
  <x:pageMargins left="0.7" right="0.7" top="0.75" bottom="0.75" header="0.3" footer="0.3"/>
  <x:drawing xmlns:r="http://schemas.openxmlformats.org/officeDocument/2006/relationships" r:id="Rbec7bbf8533b406d"/>
</x:worksheet>
</file>